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7795" windowHeight="12525"/>
  </bookViews>
  <sheets>
    <sheet name="фин план" sheetId="1" r:id="rId1"/>
  </sheets>
  <definedNames>
    <definedName name="_xlnm.Print_Area" localSheetId="0">'фин план'!$A$1:$M$36</definedName>
  </definedNames>
  <calcPr calcId="144525"/>
</workbook>
</file>

<file path=xl/calcChain.xml><?xml version="1.0" encoding="utf-8"?>
<calcChain xmlns="http://schemas.openxmlformats.org/spreadsheetml/2006/main">
  <c r="C13" i="1" l="1"/>
  <c r="C23" i="1" l="1"/>
  <c r="C22" i="1"/>
  <c r="K18" i="1"/>
  <c r="K19" i="1" s="1"/>
  <c r="K10" i="1"/>
  <c r="M10" i="1" s="1"/>
  <c r="C10" i="1" s="1"/>
  <c r="C11" i="1" s="1"/>
  <c r="C7" i="1" l="1"/>
  <c r="C8" i="1" s="1"/>
  <c r="E18" i="1" s="1"/>
  <c r="E19" i="1" s="1"/>
  <c r="C18" i="1"/>
  <c r="J18" i="1"/>
  <c r="J19" i="1" s="1"/>
  <c r="D18" i="1" l="1"/>
  <c r="D19" i="1" s="1"/>
  <c r="H18" i="1"/>
  <c r="H19" i="1" s="1"/>
  <c r="G18" i="1"/>
  <c r="G19" i="1" s="1"/>
  <c r="F18" i="1"/>
  <c r="F19" i="1" s="1"/>
  <c r="I18" i="1"/>
  <c r="I19" i="1" s="1"/>
  <c r="C21" i="1"/>
  <c r="C19" i="1"/>
  <c r="C20" i="1"/>
  <c r="C9" i="1"/>
  <c r="D20" i="1" l="1"/>
  <c r="D21" i="1"/>
  <c r="E21" i="1" s="1"/>
  <c r="C25" i="1"/>
  <c r="C27" i="1" s="1"/>
  <c r="C26" i="1"/>
  <c r="D22" i="1"/>
  <c r="E20" i="1"/>
  <c r="D23" i="1" l="1"/>
  <c r="F20" i="1"/>
  <c r="E22" i="1"/>
  <c r="E23" i="1"/>
  <c r="F21" i="1"/>
  <c r="F22" i="1" l="1"/>
  <c r="G20" i="1"/>
  <c r="G21" i="1"/>
  <c r="F23" i="1"/>
  <c r="G23" i="1" l="1"/>
  <c r="H21" i="1"/>
  <c r="H20" i="1"/>
  <c r="G22" i="1"/>
  <c r="H22" i="1" l="1"/>
  <c r="I20" i="1"/>
  <c r="I21" i="1"/>
  <c r="H23" i="1"/>
  <c r="I23" i="1" l="1"/>
  <c r="J21" i="1"/>
  <c r="J20" i="1"/>
  <c r="I22" i="1"/>
  <c r="J22" i="1" l="1"/>
  <c r="K20" i="1"/>
  <c r="K22" i="1" s="1"/>
  <c r="K21" i="1"/>
  <c r="K23" i="1" s="1"/>
  <c r="J23" i="1"/>
  <c r="C29" i="1" l="1"/>
  <c r="C28" i="1"/>
</calcChain>
</file>

<file path=xl/sharedStrings.xml><?xml version="1.0" encoding="utf-8"?>
<sst xmlns="http://schemas.openxmlformats.org/spreadsheetml/2006/main" count="66" uniqueCount="42">
  <si>
    <t>Показатели</t>
  </si>
  <si>
    <t>Ед.изм.</t>
  </si>
  <si>
    <t>Значение</t>
  </si>
  <si>
    <t>Ежегодный общий экономический эффект</t>
  </si>
  <si>
    <t>Доходы</t>
  </si>
  <si>
    <t>Расходы</t>
  </si>
  <si>
    <t>Доходы - 
расходы</t>
  </si>
  <si>
    <t>Цена АСКУЭ</t>
  </si>
  <si>
    <t>тыс.руб.</t>
  </si>
  <si>
    <t xml:space="preserve">Экономия от сверхнормативного ОДН </t>
  </si>
  <si>
    <t>лет</t>
  </si>
  <si>
    <t>Экономия по неплатежам</t>
  </si>
  <si>
    <t>Годовая сумма аммортизации</t>
  </si>
  <si>
    <t>Экономия затрат на снятие показаний ИПУ</t>
  </si>
  <si>
    <t>Экономия налога на прибыль 20%</t>
  </si>
  <si>
    <t>Экономия на ввод ПУ в эксплуатацию</t>
  </si>
  <si>
    <t>Налог на имущество 2,2%</t>
  </si>
  <si>
    <t>И Т О Г О: Ежегодный общий экономический эффект</t>
  </si>
  <si>
    <t>Ежегодная экономия</t>
  </si>
  <si>
    <t>Жизненный цикл</t>
  </si>
  <si>
    <t>Обслуживание АСКУЭ</t>
  </si>
  <si>
    <t>Норма дисконта</t>
  </si>
  <si>
    <t>%</t>
  </si>
  <si>
    <t>Года</t>
  </si>
  <si>
    <t>Денежные потоки</t>
  </si>
  <si>
    <t>Дисконтированные денежные потоки</t>
  </si>
  <si>
    <t>Денежный поток нарастающим итогом</t>
  </si>
  <si>
    <t>Дисконтированный денежный поток 
нарастающим итогом</t>
  </si>
  <si>
    <t>Расчет PP</t>
  </si>
  <si>
    <t>Расчет DPP</t>
  </si>
  <si>
    <t>Результаты</t>
  </si>
  <si>
    <t>ЧДД</t>
  </si>
  <si>
    <t>ВНД</t>
  </si>
  <si>
    <t>Индекс прибыльности</t>
  </si>
  <si>
    <t>Дисконтированный срок окупаемости</t>
  </si>
  <si>
    <t>Заместитель генерального директора ПАО ГК «ТНС энерго» -</t>
  </si>
  <si>
    <t xml:space="preserve">                         Е.Д. Вахитова       </t>
  </si>
  <si>
    <t xml:space="preserve">Финансовая модель ПАО "ТНС энерго Марий Эл" </t>
  </si>
  <si>
    <t xml:space="preserve">Средний срок эксплуатации приборов учета 25 лет, средний межповерочный интервал 16 лет, а системы АСКУЭ в целом 10 лет. </t>
  </si>
  <si>
    <t>Простой срок окупаемости</t>
  </si>
  <si>
    <t>Срок полезного использования (для начисления амортизации)</t>
  </si>
  <si>
    <t>управляющий директор ПАО «ТНС энерго Марий Эл»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</si>
</sst>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Border="1"/>
    <xf numFmtId="164" fontId="7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/>
    <xf numFmtId="3" fontId="8" fillId="0" borderId="1" xfId="0" applyNumberFormat="1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2" borderId="1" xfId="0" applyFont="1" applyFill="1" applyBorder="1" applyAlignment="1">
      <alignment horizontal="center"/>
    </xf>
    <xf numFmtId="3" fontId="7" fillId="0" borderId="1" xfId="0" applyNumberFormat="1" applyFont="1" applyBorder="1"/>
    <xf numFmtId="3" fontId="7" fillId="0" borderId="0" xfId="0" applyNumberFormat="1" applyFont="1" applyBorder="1"/>
    <xf numFmtId="0" fontId="7" fillId="0" borderId="1" xfId="0" applyFont="1" applyBorder="1"/>
    <xf numFmtId="0" fontId="7" fillId="0" borderId="0" xfId="0" applyFont="1" applyBorder="1"/>
    <xf numFmtId="0" fontId="5" fillId="0" borderId="0" xfId="0" applyFont="1" applyAlignment="1">
      <alignment horizontal="left" vertical="center" textRotation="180"/>
    </xf>
    <xf numFmtId="0" fontId="10" fillId="0" borderId="0" xfId="0" applyFont="1"/>
    <xf numFmtId="0" fontId="3" fillId="0" borderId="0" xfId="0" applyFont="1" applyAlignment="1">
      <alignment horizontal="left"/>
    </xf>
    <xf numFmtId="0" fontId="9" fillId="0" borderId="1" xfId="0" applyFont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Fill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10" fontId="7" fillId="0" borderId="1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left" wrapText="1"/>
    </xf>
    <xf numFmtId="0" fontId="7" fillId="0" borderId="0" xfId="0" applyFont="1" applyFill="1" applyBorder="1" applyAlignment="1"/>
    <xf numFmtId="0" fontId="14" fillId="0" borderId="0" xfId="0" applyFont="1"/>
    <xf numFmtId="0" fontId="14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9" fontId="7" fillId="0" borderId="1" xfId="0" applyNumberFormat="1" applyFont="1" applyFill="1" applyBorder="1"/>
    <xf numFmtId="2" fontId="7" fillId="0" borderId="1" xfId="0" applyNumberFormat="1" applyFont="1" applyFill="1" applyBorder="1"/>
    <xf numFmtId="0" fontId="7" fillId="0" borderId="1" xfId="0" applyFont="1" applyFill="1" applyBorder="1"/>
    <xf numFmtId="1" fontId="7" fillId="0" borderId="1" xfId="0" applyNumberFormat="1" applyFont="1" applyFill="1" applyBorder="1"/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4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5">
    <cellStyle name="Обычный" xfId="0" builtinId="0"/>
    <cellStyle name="Обычный 17" xfId="1"/>
    <cellStyle name="Обычный 2" xfId="2"/>
    <cellStyle name="Обычный 2 4" xfId="3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5"/>
  <sheetViews>
    <sheetView tabSelected="1" topLeftCell="A10" zoomScaleNormal="100" zoomScaleSheetLayoutView="100" workbookViewId="0">
      <selection activeCell="H29" sqref="H29"/>
    </sheetView>
  </sheetViews>
  <sheetFormatPr defaultRowHeight="15.75" x14ac:dyDescent="0.25"/>
  <cols>
    <col min="1" max="1" width="43.42578125" style="1" customWidth="1"/>
    <col min="2" max="2" width="12" style="1" customWidth="1"/>
    <col min="3" max="3" width="13.7109375" style="1" customWidth="1"/>
    <col min="4" max="4" width="12.28515625" style="1" customWidth="1"/>
    <col min="5" max="11" width="13.7109375" style="1" customWidth="1"/>
    <col min="12" max="12" width="10.42578125" style="1" customWidth="1"/>
    <col min="13" max="13" width="10.5703125" style="1" customWidth="1"/>
    <col min="14" max="14" width="11.7109375" style="1" customWidth="1"/>
    <col min="15" max="16384" width="9.140625" style="1"/>
  </cols>
  <sheetData>
    <row r="1" spans="1:14" ht="27.75" customHeight="1" x14ac:dyDescent="0.25">
      <c r="A1" s="57" t="s">
        <v>37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75" customHeight="1" x14ac:dyDescent="0.25">
      <c r="A3" s="58" t="s">
        <v>0</v>
      </c>
      <c r="B3" s="58" t="s">
        <v>1</v>
      </c>
      <c r="C3" s="58" t="s">
        <v>2</v>
      </c>
      <c r="D3" s="2"/>
      <c r="E3" s="59" t="s">
        <v>3</v>
      </c>
      <c r="F3" s="60"/>
      <c r="G3" s="60"/>
      <c r="H3" s="60"/>
      <c r="I3" s="60"/>
      <c r="J3" s="60"/>
      <c r="K3" s="60"/>
      <c r="L3" s="60"/>
      <c r="M3" s="61"/>
    </row>
    <row r="4" spans="1:14" ht="31.5" x14ac:dyDescent="0.25">
      <c r="A4" s="58"/>
      <c r="B4" s="58"/>
      <c r="C4" s="58"/>
      <c r="E4" s="62" t="s">
        <v>0</v>
      </c>
      <c r="F4" s="63"/>
      <c r="G4" s="63"/>
      <c r="H4" s="63"/>
      <c r="I4" s="64"/>
      <c r="J4" s="3" t="s">
        <v>1</v>
      </c>
      <c r="K4" s="3" t="s">
        <v>4</v>
      </c>
      <c r="L4" s="3" t="s">
        <v>5</v>
      </c>
      <c r="M4" s="4" t="s">
        <v>6</v>
      </c>
    </row>
    <row r="5" spans="1:14" ht="15.75" customHeight="1" x14ac:dyDescent="0.25">
      <c r="A5" s="5" t="s">
        <v>7</v>
      </c>
      <c r="B5" s="6" t="s">
        <v>8</v>
      </c>
      <c r="C5" s="7">
        <v>254145.7627118644</v>
      </c>
      <c r="E5" s="54" t="s">
        <v>9</v>
      </c>
      <c r="F5" s="55"/>
      <c r="G5" s="55"/>
      <c r="H5" s="55"/>
      <c r="I5" s="56"/>
      <c r="J5" s="8" t="s">
        <v>8</v>
      </c>
      <c r="K5" s="9">
        <v>27375.034752</v>
      </c>
      <c r="L5" s="10"/>
      <c r="M5" s="10"/>
    </row>
    <row r="6" spans="1:14" ht="36.75" customHeight="1" x14ac:dyDescent="0.25">
      <c r="A6" s="33" t="s">
        <v>40</v>
      </c>
      <c r="B6" s="34" t="s">
        <v>10</v>
      </c>
      <c r="C6" s="16">
        <v>7</v>
      </c>
      <c r="D6" s="35"/>
      <c r="E6" s="50" t="s">
        <v>11</v>
      </c>
      <c r="F6" s="51"/>
      <c r="G6" s="51"/>
      <c r="H6" s="51"/>
      <c r="I6" s="52"/>
      <c r="J6" s="8" t="s">
        <v>8</v>
      </c>
      <c r="K6" s="9">
        <v>4324.5258813654655</v>
      </c>
      <c r="L6" s="10"/>
      <c r="M6" s="10"/>
    </row>
    <row r="7" spans="1:14" ht="18" customHeight="1" x14ac:dyDescent="0.25">
      <c r="A7" s="33" t="s">
        <v>12</v>
      </c>
      <c r="B7" s="34" t="s">
        <v>8</v>
      </c>
      <c r="C7" s="11">
        <f>C5/C6</f>
        <v>36306.537530266345</v>
      </c>
      <c r="D7" s="35"/>
      <c r="E7" s="50" t="s">
        <v>13</v>
      </c>
      <c r="F7" s="51"/>
      <c r="G7" s="51"/>
      <c r="H7" s="51"/>
      <c r="I7" s="52"/>
      <c r="J7" s="8" t="s">
        <v>8</v>
      </c>
      <c r="K7" s="12">
        <v>2569.6000123474519</v>
      </c>
      <c r="L7" s="10"/>
      <c r="M7" s="10"/>
    </row>
    <row r="8" spans="1:14" ht="16.5" x14ac:dyDescent="0.25">
      <c r="A8" s="33" t="s">
        <v>14</v>
      </c>
      <c r="B8" s="34" t="s">
        <v>8</v>
      </c>
      <c r="C8" s="11">
        <f>C7*0.2</f>
        <v>7261.3075060532692</v>
      </c>
      <c r="D8" s="35"/>
      <c r="E8" s="50" t="s">
        <v>15</v>
      </c>
      <c r="F8" s="51"/>
      <c r="G8" s="51"/>
      <c r="H8" s="51"/>
      <c r="I8" s="52"/>
      <c r="J8" s="8" t="s">
        <v>8</v>
      </c>
      <c r="K8" s="9">
        <v>7590.9024266666656</v>
      </c>
      <c r="L8" s="10"/>
      <c r="M8" s="10"/>
    </row>
    <row r="9" spans="1:14" ht="16.5" x14ac:dyDescent="0.25">
      <c r="A9" s="33" t="s">
        <v>16</v>
      </c>
      <c r="B9" s="34" t="s">
        <v>8</v>
      </c>
      <c r="C9" s="11">
        <f>(C5-C7)*2.2%</f>
        <v>4792.4629539951575</v>
      </c>
      <c r="D9" s="35"/>
      <c r="E9" s="50"/>
      <c r="F9" s="51"/>
      <c r="G9" s="51"/>
      <c r="H9" s="51"/>
      <c r="I9" s="52"/>
      <c r="J9" s="8"/>
      <c r="K9" s="10"/>
      <c r="L9" s="10"/>
      <c r="M9" s="10"/>
    </row>
    <row r="10" spans="1:14" ht="16.5" x14ac:dyDescent="0.25">
      <c r="A10" s="33" t="s">
        <v>3</v>
      </c>
      <c r="B10" s="34" t="s">
        <v>8</v>
      </c>
      <c r="C10" s="11">
        <f>M10</f>
        <v>41460.063072379584</v>
      </c>
      <c r="D10" s="35"/>
      <c r="E10" s="47" t="s">
        <v>17</v>
      </c>
      <c r="F10" s="48"/>
      <c r="G10" s="48"/>
      <c r="H10" s="48"/>
      <c r="I10" s="49"/>
      <c r="J10" s="8" t="s">
        <v>8</v>
      </c>
      <c r="K10" s="13">
        <f>SUM(K5:K9)</f>
        <v>41860.063072379584</v>
      </c>
      <c r="L10" s="14"/>
      <c r="M10" s="13">
        <f>K10-L12</f>
        <v>41460.063072379584</v>
      </c>
    </row>
    <row r="11" spans="1:14" ht="57" customHeight="1" x14ac:dyDescent="0.25">
      <c r="A11" s="33" t="s">
        <v>18</v>
      </c>
      <c r="B11" s="36" t="s">
        <v>8</v>
      </c>
      <c r="C11" s="11">
        <f>C10</f>
        <v>41460.063072379584</v>
      </c>
      <c r="D11" s="35"/>
      <c r="E11" s="50" t="s">
        <v>38</v>
      </c>
      <c r="F11" s="51"/>
      <c r="G11" s="51"/>
      <c r="H11" s="51"/>
      <c r="I11" s="52"/>
      <c r="J11" s="8" t="s">
        <v>10</v>
      </c>
      <c r="K11" s="29">
        <v>10</v>
      </c>
      <c r="L11" s="15"/>
      <c r="M11" s="15"/>
    </row>
    <row r="12" spans="1:14" ht="16.5" x14ac:dyDescent="0.25">
      <c r="A12" s="33" t="s">
        <v>21</v>
      </c>
      <c r="B12" s="36" t="s">
        <v>22</v>
      </c>
      <c r="C12" s="37">
        <v>8.4259259259259256E-2</v>
      </c>
      <c r="D12" s="35"/>
      <c r="E12" s="50" t="s">
        <v>20</v>
      </c>
      <c r="F12" s="51"/>
      <c r="G12" s="51"/>
      <c r="H12" s="51"/>
      <c r="I12" s="52"/>
      <c r="J12" s="8" t="s">
        <v>8</v>
      </c>
      <c r="K12" s="10"/>
      <c r="L12" s="17">
        <v>400</v>
      </c>
      <c r="M12" s="10"/>
    </row>
    <row r="13" spans="1:14" ht="16.5" hidden="1" x14ac:dyDescent="0.25">
      <c r="A13" s="33" t="s">
        <v>19</v>
      </c>
      <c r="B13" s="36" t="s">
        <v>10</v>
      </c>
      <c r="C13" s="16">
        <f>C6</f>
        <v>7</v>
      </c>
      <c r="D13" s="35"/>
      <c r="E13" s="38"/>
      <c r="F13" s="38"/>
      <c r="G13" s="38"/>
      <c r="H13" s="38"/>
      <c r="I13" s="38"/>
      <c r="J13" s="31"/>
      <c r="K13" s="30"/>
      <c r="L13" s="20"/>
      <c r="M13" s="30"/>
    </row>
    <row r="14" spans="1:14" x14ac:dyDescent="0.25">
      <c r="A14" s="35"/>
      <c r="B14" s="35"/>
      <c r="C14" s="35"/>
      <c r="D14" s="35"/>
      <c r="E14" s="39"/>
      <c r="F14" s="39"/>
      <c r="G14" s="39"/>
      <c r="H14" s="39"/>
      <c r="I14" s="39"/>
      <c r="J14" s="19"/>
      <c r="K14" s="20"/>
      <c r="L14" s="20"/>
      <c r="M14" s="20"/>
    </row>
    <row r="15" spans="1:14" x14ac:dyDescent="0.25">
      <c r="A15" s="35"/>
      <c r="B15" s="35"/>
      <c r="C15" s="35"/>
      <c r="D15" s="35"/>
      <c r="E15" s="39"/>
      <c r="F15" s="39"/>
      <c r="G15" s="39"/>
      <c r="H15" s="39"/>
      <c r="I15" s="39"/>
      <c r="J15" s="18"/>
      <c r="K15" s="19"/>
      <c r="L15" s="20"/>
      <c r="M15" s="20"/>
      <c r="N15" s="20"/>
    </row>
    <row r="16" spans="1:14" x14ac:dyDescent="0.25">
      <c r="A16" s="40"/>
      <c r="B16" s="40"/>
      <c r="C16" s="35"/>
      <c r="D16" s="35"/>
      <c r="E16" s="35"/>
      <c r="F16" s="35"/>
      <c r="G16" s="35"/>
      <c r="H16" s="35"/>
      <c r="I16" s="35"/>
    </row>
    <row r="17" spans="1:14" x14ac:dyDescent="0.25">
      <c r="A17" s="41" t="s">
        <v>23</v>
      </c>
      <c r="B17" s="41"/>
      <c r="C17" s="41">
        <v>0</v>
      </c>
      <c r="D17" s="41">
        <v>1</v>
      </c>
      <c r="E17" s="41">
        <v>2</v>
      </c>
      <c r="F17" s="41">
        <v>3</v>
      </c>
      <c r="G17" s="41">
        <v>4</v>
      </c>
      <c r="H17" s="41">
        <v>5</v>
      </c>
      <c r="I17" s="41">
        <v>6</v>
      </c>
      <c r="J17" s="21">
        <v>7</v>
      </c>
      <c r="K17" s="21">
        <v>8</v>
      </c>
    </row>
    <row r="18" spans="1:14" x14ac:dyDescent="0.25">
      <c r="A18" s="24" t="s">
        <v>24</v>
      </c>
      <c r="B18" s="34" t="s">
        <v>8</v>
      </c>
      <c r="C18" s="22">
        <f>-C5</f>
        <v>-254145.7627118644</v>
      </c>
      <c r="D18" s="22">
        <f t="shared" ref="D18:K18" si="0">IF(D17&lt;=$C$13,$C$10+$C$8-(0.022*($C$5-$C$7*D17)),0)</f>
        <v>43928.907624437699</v>
      </c>
      <c r="E18" s="22">
        <f t="shared" si="0"/>
        <v>44727.651450103556</v>
      </c>
      <c r="F18" s="22">
        <f t="shared" si="0"/>
        <v>45526.395275769421</v>
      </c>
      <c r="G18" s="22">
        <f t="shared" si="0"/>
        <v>46325.139101435278</v>
      </c>
      <c r="H18" s="22">
        <f t="shared" si="0"/>
        <v>47123.882927101135</v>
      </c>
      <c r="I18" s="22">
        <f t="shared" si="0"/>
        <v>47922.626752766999</v>
      </c>
      <c r="J18" s="22">
        <f t="shared" si="0"/>
        <v>48721.370578432856</v>
      </c>
      <c r="K18" s="22">
        <f t="shared" si="0"/>
        <v>0</v>
      </c>
      <c r="L18" s="23"/>
      <c r="M18" s="23"/>
      <c r="N18" s="23"/>
    </row>
    <row r="19" spans="1:14" ht="22.5" customHeight="1" x14ac:dyDescent="0.25">
      <c r="A19" s="33" t="s">
        <v>25</v>
      </c>
      <c r="B19" s="34" t="s">
        <v>8</v>
      </c>
      <c r="C19" s="22">
        <f>C18/(1+$C$12)^C17</f>
        <v>-254145.7627118644</v>
      </c>
      <c r="D19" s="22">
        <f t="shared" ref="D19:K19" si="1">D18/(1+$C$12)^(D17-1)</f>
        <v>43928.907624437699</v>
      </c>
      <c r="E19" s="22">
        <f t="shared" si="1"/>
        <v>41251.804924092095</v>
      </c>
      <c r="F19" s="22">
        <f t="shared" si="1"/>
        <v>38725.495700360079</v>
      </c>
      <c r="G19" s="22">
        <f t="shared" si="1"/>
        <v>36342.710392412228</v>
      </c>
      <c r="H19" s="22">
        <f t="shared" si="1"/>
        <v>34096.398644185669</v>
      </c>
      <c r="I19" s="22">
        <f t="shared" si="1"/>
        <v>31979.739136262589</v>
      </c>
      <c r="J19" s="22">
        <f t="shared" si="1"/>
        <v>29986.146565861858</v>
      </c>
      <c r="K19" s="22">
        <f t="shared" si="1"/>
        <v>0</v>
      </c>
      <c r="L19" s="23"/>
      <c r="M19" s="23"/>
      <c r="N19" s="23"/>
    </row>
    <row r="20" spans="1:14" ht="22.5" customHeight="1" x14ac:dyDescent="0.25">
      <c r="A20" s="33" t="s">
        <v>26</v>
      </c>
      <c r="B20" s="34" t="s">
        <v>8</v>
      </c>
      <c r="C20" s="22">
        <f>C18</f>
        <v>-254145.7627118644</v>
      </c>
      <c r="D20" s="22">
        <f>C20+D18</f>
        <v>-210216.85508742669</v>
      </c>
      <c r="E20" s="22">
        <f>D20+E18</f>
        <v>-165489.20363732314</v>
      </c>
      <c r="F20" s="22">
        <f t="shared" ref="F20:K21" si="2">E20+F18</f>
        <v>-119962.80836155372</v>
      </c>
      <c r="G20" s="22">
        <f t="shared" si="2"/>
        <v>-73637.669260118448</v>
      </c>
      <c r="H20" s="22">
        <f t="shared" si="2"/>
        <v>-26513.786333017313</v>
      </c>
      <c r="I20" s="22">
        <f t="shared" si="2"/>
        <v>21408.840419749686</v>
      </c>
      <c r="J20" s="22">
        <f t="shared" si="2"/>
        <v>70130.210998182534</v>
      </c>
      <c r="K20" s="22">
        <f t="shared" si="2"/>
        <v>70130.210998182534</v>
      </c>
      <c r="L20" s="23"/>
      <c r="M20" s="23"/>
      <c r="N20" s="23"/>
    </row>
    <row r="21" spans="1:14" ht="31.5" x14ac:dyDescent="0.25">
      <c r="A21" s="33" t="s">
        <v>27</v>
      </c>
      <c r="B21" s="34" t="s">
        <v>8</v>
      </c>
      <c r="C21" s="22">
        <f>C18</f>
        <v>-254145.7627118644</v>
      </c>
      <c r="D21" s="22">
        <f>C21+D19</f>
        <v>-210216.85508742669</v>
      </c>
      <c r="E21" s="22">
        <f>D21+E19</f>
        <v>-168965.05016333458</v>
      </c>
      <c r="F21" s="22">
        <f t="shared" si="2"/>
        <v>-130239.55446297451</v>
      </c>
      <c r="G21" s="22">
        <f t="shared" si="2"/>
        <v>-93896.844070562278</v>
      </c>
      <c r="H21" s="22">
        <f t="shared" si="2"/>
        <v>-59800.445426376609</v>
      </c>
      <c r="I21" s="22">
        <f t="shared" si="2"/>
        <v>-27820.70629011402</v>
      </c>
      <c r="J21" s="22">
        <f t="shared" si="2"/>
        <v>2165.4402757478383</v>
      </c>
      <c r="K21" s="22">
        <f t="shared" si="2"/>
        <v>2165.4402757478383</v>
      </c>
      <c r="L21" s="23"/>
      <c r="M21" s="23"/>
      <c r="N21" s="23"/>
    </row>
    <row r="22" spans="1:14" x14ac:dyDescent="0.25">
      <c r="A22" s="42" t="s">
        <v>28</v>
      </c>
      <c r="B22" s="24"/>
      <c r="C22" s="24">
        <f>0*C17</f>
        <v>0</v>
      </c>
      <c r="D22" s="24">
        <f>IF(D20/C20&gt;0,0,1)*D17</f>
        <v>0</v>
      </c>
      <c r="E22" s="24">
        <f>IF(E20/D20&gt;0,0,1)*E17</f>
        <v>0</v>
      </c>
      <c r="F22" s="24">
        <f t="shared" ref="F22:K22" si="3">IF(F20/E20&gt;0,0,1)*F17</f>
        <v>0</v>
      </c>
      <c r="G22" s="24">
        <f t="shared" si="3"/>
        <v>0</v>
      </c>
      <c r="H22" s="24">
        <f t="shared" si="3"/>
        <v>0</v>
      </c>
      <c r="I22" s="24">
        <f t="shared" si="3"/>
        <v>6</v>
      </c>
      <c r="J22" s="24">
        <f t="shared" si="3"/>
        <v>0</v>
      </c>
      <c r="K22" s="24">
        <f t="shared" si="3"/>
        <v>0</v>
      </c>
      <c r="L22" s="25"/>
      <c r="M22" s="25"/>
      <c r="N22" s="25"/>
    </row>
    <row r="23" spans="1:14" x14ac:dyDescent="0.25">
      <c r="A23" s="24" t="s">
        <v>29</v>
      </c>
      <c r="B23" s="24"/>
      <c r="C23" s="24">
        <f>0*C17</f>
        <v>0</v>
      </c>
      <c r="D23" s="24">
        <f>IF(D21/C21&gt;0,0,1)*D17</f>
        <v>0</v>
      </c>
      <c r="E23" s="24">
        <f>IF(E21/D21&gt;0,0,1)*E17</f>
        <v>0</v>
      </c>
      <c r="F23" s="24">
        <f t="shared" ref="F23:K23" si="4">IF(F21/E21&gt;0,0,1)*F17</f>
        <v>0</v>
      </c>
      <c r="G23" s="24">
        <f t="shared" si="4"/>
        <v>0</v>
      </c>
      <c r="H23" s="24">
        <f t="shared" si="4"/>
        <v>0</v>
      </c>
      <c r="I23" s="24">
        <f t="shared" si="4"/>
        <v>0</v>
      </c>
      <c r="J23" s="24">
        <f t="shared" si="4"/>
        <v>7</v>
      </c>
      <c r="K23" s="24">
        <f t="shared" si="4"/>
        <v>0</v>
      </c>
      <c r="L23" s="25"/>
      <c r="M23" s="25"/>
      <c r="N23" s="25"/>
    </row>
    <row r="24" spans="1:14" x14ac:dyDescent="0.25">
      <c r="A24" s="53" t="s">
        <v>30</v>
      </c>
      <c r="B24" s="53"/>
      <c r="C24" s="53"/>
      <c r="D24" s="35"/>
      <c r="E24" s="35"/>
      <c r="F24" s="35"/>
      <c r="G24" s="35"/>
      <c r="H24" s="35"/>
      <c r="I24" s="35"/>
    </row>
    <row r="25" spans="1:14" x14ac:dyDescent="0.25">
      <c r="A25" s="24" t="s">
        <v>31</v>
      </c>
      <c r="B25" s="34" t="s">
        <v>8</v>
      </c>
      <c r="C25" s="22">
        <f>SUM(C19:K19)</f>
        <v>2165.4402757478383</v>
      </c>
      <c r="D25" s="35"/>
      <c r="E25" s="35"/>
      <c r="F25" s="35"/>
      <c r="G25" s="35"/>
      <c r="H25" s="35"/>
      <c r="I25" s="35"/>
    </row>
    <row r="26" spans="1:14" x14ac:dyDescent="0.25">
      <c r="A26" s="24" t="s">
        <v>32</v>
      </c>
      <c r="B26" s="36" t="s">
        <v>22</v>
      </c>
      <c r="C26" s="43">
        <f>IRR(C18:K18,0.00000000001)</f>
        <v>6.3709363221334137E-2</v>
      </c>
      <c r="D26" s="35"/>
      <c r="E26" s="35"/>
      <c r="F26" s="35"/>
      <c r="G26" s="35"/>
      <c r="H26" s="35"/>
      <c r="I26" s="35"/>
    </row>
    <row r="27" spans="1:14" x14ac:dyDescent="0.25">
      <c r="A27" s="24" t="s">
        <v>33</v>
      </c>
      <c r="B27" s="24"/>
      <c r="C27" s="44">
        <f>1+C25/(-C18)</f>
        <v>1.0085204657856244</v>
      </c>
      <c r="D27" s="35"/>
      <c r="E27" s="35"/>
      <c r="F27" s="35"/>
      <c r="G27" s="35"/>
      <c r="H27" s="35"/>
      <c r="I27" s="35"/>
    </row>
    <row r="28" spans="1:14" x14ac:dyDescent="0.25">
      <c r="A28" s="24" t="s">
        <v>39</v>
      </c>
      <c r="B28" s="36" t="s">
        <v>10</v>
      </c>
      <c r="C28" s="45">
        <f>IF(SUM(C22:K22)=0,"Неокупаем",SUM(C22:K22))</f>
        <v>6</v>
      </c>
      <c r="D28" s="35"/>
      <c r="E28" s="35"/>
      <c r="F28" s="35"/>
      <c r="G28" s="35"/>
      <c r="H28" s="35"/>
      <c r="I28" s="35"/>
    </row>
    <row r="29" spans="1:14" x14ac:dyDescent="0.25">
      <c r="A29" s="24" t="s">
        <v>34</v>
      </c>
      <c r="B29" s="36" t="s">
        <v>10</v>
      </c>
      <c r="C29" s="46">
        <f>IF(SUM(C23:K23)=0,"Неокупаем",SUM(C23:K23))</f>
        <v>7</v>
      </c>
      <c r="D29" s="35"/>
      <c r="E29" s="35"/>
      <c r="F29" s="35"/>
      <c r="G29" s="35"/>
      <c r="H29" s="35"/>
      <c r="I29" s="35"/>
    </row>
    <row r="30" spans="1:14" x14ac:dyDescent="0.25">
      <c r="A30" s="30"/>
      <c r="B30" s="31"/>
      <c r="C30" s="32"/>
    </row>
    <row r="31" spans="1:14" x14ac:dyDescent="0.25">
      <c r="A31" s="30"/>
      <c r="B31" s="31"/>
      <c r="C31" s="32"/>
    </row>
    <row r="32" spans="1:14" x14ac:dyDescent="0.25">
      <c r="A32" s="26"/>
      <c r="B32" s="26"/>
      <c r="D32" s="27"/>
      <c r="E32" s="27"/>
    </row>
    <row r="34" spans="1:6" x14ac:dyDescent="0.25">
      <c r="A34" s="28" t="s">
        <v>35</v>
      </c>
      <c r="B34" s="28"/>
    </row>
    <row r="35" spans="1:6" x14ac:dyDescent="0.25">
      <c r="A35" s="1" t="s">
        <v>41</v>
      </c>
      <c r="F35" s="1" t="s">
        <v>36</v>
      </c>
    </row>
  </sheetData>
  <mergeCells count="15">
    <mergeCell ref="A1:M1"/>
    <mergeCell ref="A3:A4"/>
    <mergeCell ref="B3:B4"/>
    <mergeCell ref="C3:C4"/>
    <mergeCell ref="E3:M3"/>
    <mergeCell ref="E4:I4"/>
    <mergeCell ref="E10:I10"/>
    <mergeCell ref="E11:I11"/>
    <mergeCell ref="E12:I12"/>
    <mergeCell ref="A24:C24"/>
    <mergeCell ref="E5:I5"/>
    <mergeCell ref="E6:I6"/>
    <mergeCell ref="E7:I7"/>
    <mergeCell ref="E8:I8"/>
    <mergeCell ref="E9:I9"/>
  </mergeCells>
  <pageMargins left="0.39370078740157483" right="0" top="0.98425196850393704" bottom="0.98425196850393704" header="0.51181102362204722" footer="0.51181102362204722"/>
  <pageSetup paperSize="9" scale="6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7504d04-691e-4fc4-8f09-4f19fdbe90f6">XXJ7TYMEEKJ2-6352-138</_dlc_DocId>
    <_dlc_DocIdUrl xmlns="57504d04-691e-4fc4-8f09-4f19fdbe90f6">
      <Url>https://vip.gov.mari.ru/mecon/_layouts/DocIdRedir.aspx?ID=XXJ7TYMEEKJ2-6352-138</Url>
      <Description>XXJ7TYMEEKJ2-6352-138</Description>
    </_dlc_DocIdUrl>
    <_x041f__x0430__x043f__x043a__x0430_1 xmlns="153753a1-04fd-4dc8-9bbd-84b6c6990e53">2018 год</_x041f__x0430__x043f__x043a__x0430_1>
    <_x041e__x043f__x0438__x0441__x0430__x043d__x0438__x0435_ xmlns="6d7c22ec-c6a4-4777-88aa-bc3c76ac660e" xsi:nil="true"/>
    <_x041f__x0430__x043f__x043a__x0430_2 xmlns="153753a1-04fd-4dc8-9bbd-84b6c6990e53">Материалы проекта ИП</_x041f__x0430__x043f__x043a__x0430_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0460E380ED38D4DB9C626E642DC6F56" ma:contentTypeVersion="3" ma:contentTypeDescription="Создание документа." ma:contentTypeScope="" ma:versionID="8faeb614414cbe994172dc3d8b1e32be">
  <xsd:schema xmlns:xsd="http://www.w3.org/2001/XMLSchema" xmlns:xs="http://www.w3.org/2001/XMLSchema" xmlns:p="http://schemas.microsoft.com/office/2006/metadata/properties" xmlns:ns2="57504d04-691e-4fc4-8f09-4f19fdbe90f6" xmlns:ns3="6d7c22ec-c6a4-4777-88aa-bc3c76ac660e" xmlns:ns4="153753a1-04fd-4dc8-9bbd-84b6c6990e53" targetNamespace="http://schemas.microsoft.com/office/2006/metadata/properties" ma:root="true" ma:fieldsID="11cc227838541319b6189a274f30986e" ns2:_="" ns3:_="" ns4:_="">
    <xsd:import namespace="57504d04-691e-4fc4-8f09-4f19fdbe90f6"/>
    <xsd:import namespace="6d7c22ec-c6a4-4777-88aa-bc3c76ac660e"/>
    <xsd:import namespace="153753a1-04fd-4dc8-9bbd-84b6c6990e5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41e__x043f__x0438__x0441__x0430__x043d__x0438__x0435_" minOccurs="0"/>
                <xsd:element ref="ns4:_x041f__x0430__x043f__x043a__x0430_1"/>
                <xsd:element ref="ns4:_x041f__x0430__x043f__x043a__x0430_2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504d04-691e-4fc4-8f09-4f19fdbe90f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c22ec-c6a4-4777-88aa-bc3c76ac660e" elementFormDefault="qualified">
    <xsd:import namespace="http://schemas.microsoft.com/office/2006/documentManagement/types"/>
    <xsd:import namespace="http://schemas.microsoft.com/office/infopath/2007/PartnerControls"/>
    <xsd:element name="_x041e__x043f__x0438__x0441__x0430__x043d__x0438__x0435_" ma:index="11" nillable="true" ma:displayName="Описание" ma:internalName="_x041e__x043f__x0438__x0441__x0430__x043d__x0438__x0435_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753a1-04fd-4dc8-9bbd-84b6c6990e53" elementFormDefault="qualified">
    <xsd:import namespace="http://schemas.microsoft.com/office/2006/documentManagement/types"/>
    <xsd:import namespace="http://schemas.microsoft.com/office/infopath/2007/PartnerControls"/>
    <xsd:element name="_x041f__x0430__x043f__x043a__x0430_1" ma:index="12" ma:displayName="Папка1" ma:format="Dropdown" ma:internalName="_x041f__x0430__x043f__x043a__x0430_1">
      <xsd:simpleType>
        <xsd:restriction base="dms:Choice">
          <xsd:enumeration value="2022 год"/>
          <xsd:enumeration value="2021 год"/>
          <xsd:enumeration value="2020 год"/>
          <xsd:enumeration value="2019 год"/>
          <xsd:enumeration value="2018 год"/>
          <xsd:enumeration value="2017 год"/>
          <xsd:enumeration value="2016 год"/>
        </xsd:restriction>
      </xsd:simpleType>
    </xsd:element>
    <xsd:element name="_x041f__x0430__x043f__x043a__x0430_2" ma:index="13" ma:displayName="Папка2" ma:format="Dropdown" ma:internalName="_x041f__x0430__x043f__x043a__x0430_2">
      <xsd:simpleType>
        <xsd:restriction base="dms:Choice">
          <xsd:enumeration value="Заявления, уведомления"/>
          <xsd:enumeration value="Материалы проекта ИП"/>
          <xsd:enumeration value="Заключения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D85B22-4D10-480E-8CE7-118D75D866B3}"/>
</file>

<file path=customXml/itemProps2.xml><?xml version="1.0" encoding="utf-8"?>
<ds:datastoreItem xmlns:ds="http://schemas.openxmlformats.org/officeDocument/2006/customXml" ds:itemID="{7FB2FEC0-E525-4A1B-BAE3-5AD9D5EE5BA4}"/>
</file>

<file path=customXml/itemProps3.xml><?xml version="1.0" encoding="utf-8"?>
<ds:datastoreItem xmlns:ds="http://schemas.openxmlformats.org/officeDocument/2006/customXml" ds:itemID="{4B14E32C-D49D-4FE8-8C43-01F8C2B5230D}"/>
</file>

<file path=customXml/itemProps4.xml><?xml version="1.0" encoding="utf-8"?>
<ds:datastoreItem xmlns:ds="http://schemas.openxmlformats.org/officeDocument/2006/customXml" ds:itemID="{ED1AEA6C-1116-46D4-BAEB-F7186AB5FF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фин план</vt:lpstr>
      <vt:lpstr>'фин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Фин модель инвестиционной прграммы 17 октября 2018</dc:title>
  <dc:creator>knv</dc:creator>
  <cp:lastModifiedBy>pav</cp:lastModifiedBy>
  <cp:lastPrinted>2018-10-16T07:20:55Z</cp:lastPrinted>
  <dcterms:created xsi:type="dcterms:W3CDTF">2016-03-25T09:51:30Z</dcterms:created>
  <dcterms:modified xsi:type="dcterms:W3CDTF">2018-10-16T11:34:07Z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0x01010090460E380ED38D4DB9C626E642DC6F56</vt:lpwstr>
  </property>
  <property fmtid="{D5CDD505-2E9C-101B-9397-08002B2CF9AE}" pid="3" name="_dlc_DocIdItemGuid">
    <vt:lpwstr>ad1ef452-79c5-4947-b956-d353e3bfed64</vt:lpwstr>
  </property>
  <property fmtid="{D5CDD505-2E9C-101B-9397-08002B2CF9AE}" pid="4" name="Папка">
    <vt:lpwstr>ПАО "ТНС энерго Марий Эл"</vt:lpwstr>
  </property>
</Properties>
</file>