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3'!$A$1:$Q$100</definedName>
    <definedName name="_xlnm.Print_Area" localSheetId="1">'прил 4'!$A$1:$M$133</definedName>
    <definedName name="_xlnm.Print_Area" localSheetId="2">'прил 5'!$A$1:$I$64</definedName>
  </definedNames>
  <calcPr calcId="125725"/>
</workbook>
</file>

<file path=xl/calcChain.xml><?xml version="1.0" encoding="utf-8"?>
<calcChain xmlns="http://schemas.openxmlformats.org/spreadsheetml/2006/main">
  <c r="H50" i="3"/>
  <c r="H31" s="1"/>
  <c r="H59"/>
  <c r="H12"/>
  <c r="K125" i="2"/>
  <c r="K100"/>
  <c r="K99" s="1"/>
  <c r="K82"/>
  <c r="K81"/>
  <c r="K80"/>
  <c r="K20"/>
  <c r="O74" i="1"/>
  <c r="O13"/>
  <c r="O91"/>
  <c r="O63"/>
  <c r="N70"/>
  <c r="O70"/>
  <c r="O79"/>
  <c r="G38" i="3"/>
  <c r="G34"/>
  <c r="M30" i="2"/>
  <c r="L30"/>
  <c r="K30"/>
  <c r="K61"/>
  <c r="K62"/>
  <c r="K63"/>
  <c r="K120"/>
  <c r="L120"/>
  <c r="M120"/>
  <c r="K121"/>
  <c r="L121"/>
  <c r="M121"/>
  <c r="K122"/>
  <c r="L122"/>
  <c r="M122"/>
  <c r="K75"/>
  <c r="M75"/>
  <c r="L75"/>
  <c r="L60" s="1"/>
  <c r="M60"/>
  <c r="L61"/>
  <c r="M61"/>
  <c r="L62"/>
  <c r="M62"/>
  <c r="Q89" i="1"/>
  <c r="Q21"/>
  <c r="P12"/>
  <c r="P13"/>
  <c r="P51"/>
  <c r="O51"/>
  <c r="P89"/>
  <c r="O89"/>
  <c r="Q12"/>
  <c r="O12"/>
  <c r="O30"/>
  <c r="Q51"/>
  <c r="O54"/>
  <c r="N57"/>
  <c r="P21"/>
  <c r="O21"/>
  <c r="Q13"/>
  <c r="J10" i="3"/>
  <c r="J31"/>
  <c r="J56"/>
  <c r="J81" i="2"/>
  <c r="J82"/>
  <c r="J125"/>
  <c r="J97"/>
  <c r="J96"/>
  <c r="J85"/>
  <c r="J31"/>
  <c r="J32"/>
  <c r="J26"/>
  <c r="J45"/>
  <c r="J20"/>
  <c r="J36"/>
  <c r="J131"/>
  <c r="J15"/>
  <c r="J80"/>
  <c r="G24" i="3"/>
  <c r="G16"/>
  <c r="N30" i="1"/>
  <c r="N20"/>
  <c r="J76" i="2"/>
  <c r="N72" i="1"/>
  <c r="G48" i="3"/>
  <c r="J18" i="2"/>
  <c r="O16" i="1" l="1"/>
  <c r="K60" i="2"/>
  <c r="P16" i="1"/>
  <c r="N9" i="3"/>
  <c r="G10"/>
  <c r="N97" i="1" l="1"/>
  <c r="G37" i="3"/>
  <c r="N56" i="1"/>
  <c r="N63" s="1"/>
  <c r="G32" i="3"/>
  <c r="G42"/>
  <c r="N61" i="1"/>
  <c r="J75" i="2"/>
  <c r="N50" i="1"/>
  <c r="N62"/>
  <c r="G31" i="3" l="1"/>
  <c r="I31" l="1"/>
  <c r="J60" i="2" l="1"/>
  <c r="J61"/>
  <c r="J62"/>
  <c r="J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74" i="1"/>
  <c r="P74"/>
  <c r="N74"/>
  <c r="M74"/>
  <c r="L74"/>
  <c r="K74"/>
  <c r="J74"/>
  <c r="I74"/>
  <c r="H74"/>
  <c r="Q68"/>
  <c r="Q69" s="1"/>
  <c r="Q70" s="1"/>
  <c r="P68"/>
  <c r="P69" s="1"/>
  <c r="P70" s="1"/>
  <c r="O68"/>
  <c r="M68"/>
  <c r="M69" s="1"/>
  <c r="M70" s="1"/>
  <c r="L68"/>
  <c r="L69" s="1"/>
  <c r="L70" s="1"/>
  <c r="K68"/>
  <c r="K69" s="1"/>
  <c r="K70" s="1"/>
  <c r="J68"/>
  <c r="J69" s="1"/>
  <c r="J70" s="1"/>
  <c r="I68"/>
  <c r="I69" s="1"/>
  <c r="I70" s="1"/>
  <c r="H68"/>
  <c r="H69" s="1"/>
  <c r="H70" s="1"/>
  <c r="L63"/>
  <c r="M63"/>
  <c r="P63"/>
  <c r="Q63"/>
  <c r="K63"/>
  <c r="H56" i="3" l="1"/>
  <c r="G56"/>
  <c r="H54"/>
  <c r="G54"/>
  <c r="H10"/>
  <c r="L9" l="1"/>
  <c r="K9"/>
  <c r="M17" i="2"/>
  <c r="I56" i="3" l="1"/>
  <c r="I54"/>
  <c r="P100" i="1" l="1"/>
  <c r="O100"/>
  <c r="N100"/>
  <c r="N88" s="1"/>
  <c r="P97"/>
  <c r="O97"/>
  <c r="P87"/>
  <c r="O87"/>
  <c r="N87"/>
  <c r="P82"/>
  <c r="O82"/>
  <c r="N82"/>
  <c r="P66"/>
  <c r="O66"/>
  <c r="N66"/>
  <c r="P55"/>
  <c r="O55"/>
  <c r="N55"/>
  <c r="P48"/>
  <c r="O48"/>
  <c r="O44" s="1"/>
  <c r="N48"/>
  <c r="P43"/>
  <c r="O43"/>
  <c r="N43"/>
  <c r="P38"/>
  <c r="O38"/>
  <c r="N38"/>
  <c r="P32"/>
  <c r="O32"/>
  <c r="N32"/>
  <c r="P26"/>
  <c r="O26"/>
  <c r="N26"/>
  <c r="P22"/>
  <c r="O22"/>
  <c r="N22"/>
  <c r="P19"/>
  <c r="O19"/>
  <c r="N19"/>
  <c r="N16"/>
  <c r="I10" i="3"/>
  <c r="M9" s="1"/>
  <c r="N44" i="1" l="1"/>
  <c r="P11"/>
  <c r="N11"/>
  <c r="O11"/>
  <c r="O10" s="1"/>
  <c r="P80"/>
  <c r="O80"/>
  <c r="N80"/>
  <c r="P88"/>
  <c r="O88"/>
  <c r="P44"/>
  <c r="N10" l="1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I120"/>
  <c r="H120"/>
  <c r="G120"/>
  <c r="F120"/>
  <c r="E120"/>
  <c r="D120"/>
  <c r="J121"/>
  <c r="I121"/>
  <c r="H121"/>
  <c r="G121"/>
  <c r="F121"/>
  <c r="E121"/>
  <c r="D121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M104" i="2" l="1"/>
  <c r="K59"/>
  <c r="F59"/>
  <c r="E119"/>
  <c r="J104"/>
  <c r="I119"/>
  <c r="D59"/>
  <c r="F104"/>
  <c r="M119"/>
  <c r="O123"/>
  <c r="O122"/>
  <c r="O121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7" i="1"/>
  <c r="J87"/>
  <c r="K87"/>
  <c r="L87"/>
  <c r="M87"/>
  <c r="Q87"/>
  <c r="H87"/>
  <c r="I82"/>
  <c r="J82"/>
  <c r="K82"/>
  <c r="L82"/>
  <c r="M82"/>
  <c r="Q82"/>
  <c r="H82"/>
  <c r="I100"/>
  <c r="J100"/>
  <c r="K100"/>
  <c r="L100"/>
  <c r="M100"/>
  <c r="Q100"/>
  <c r="H100"/>
  <c r="I97"/>
  <c r="J97"/>
  <c r="K97"/>
  <c r="L97"/>
  <c r="M97"/>
  <c r="Q97"/>
  <c r="H97"/>
  <c r="I66"/>
  <c r="J66"/>
  <c r="K66"/>
  <c r="L66"/>
  <c r="M66"/>
  <c r="Q66"/>
  <c r="H66"/>
  <c r="I63"/>
  <c r="J63"/>
  <c r="H63"/>
  <c r="I55"/>
  <c r="J55"/>
  <c r="K55"/>
  <c r="L55"/>
  <c r="M55"/>
  <c r="Q55"/>
  <c r="H55"/>
  <c r="I48"/>
  <c r="J48"/>
  <c r="K48"/>
  <c r="L48"/>
  <c r="M48"/>
  <c r="Q48"/>
  <c r="H48"/>
  <c r="I22"/>
  <c r="J22"/>
  <c r="K22"/>
  <c r="M22"/>
  <c r="Q22"/>
  <c r="H22"/>
  <c r="I26"/>
  <c r="J26"/>
  <c r="K26"/>
  <c r="L26"/>
  <c r="M26"/>
  <c r="Q26"/>
  <c r="H26"/>
  <c r="I43"/>
  <c r="J43"/>
  <c r="K43"/>
  <c r="L43"/>
  <c r="M43"/>
  <c r="Q43"/>
  <c r="H43"/>
  <c r="I38"/>
  <c r="J38"/>
  <c r="K38"/>
  <c r="L38"/>
  <c r="M38"/>
  <c r="Q38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4"/>
  <c r="M44"/>
  <c r="K44"/>
  <c r="I44"/>
  <c r="H88"/>
  <c r="M88"/>
  <c r="K88"/>
  <c r="I88"/>
  <c r="H80"/>
  <c r="M80"/>
  <c r="K80"/>
  <c r="I80"/>
  <c r="H11"/>
  <c r="H10" s="1"/>
  <c r="Q44"/>
  <c r="L44"/>
  <c r="J44"/>
  <c r="Q88"/>
  <c r="L88"/>
  <c r="J88"/>
  <c r="L80"/>
  <c r="J80"/>
  <c r="M11"/>
  <c r="M10" s="1"/>
  <c r="Q11"/>
  <c r="K11"/>
  <c r="I11"/>
  <c r="I10" l="1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<sst xmlns="http://schemas.openxmlformats.org/spreadsheetml/2006/main" count="582" uniqueCount="242">
  <si>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</si>
  <si>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</si>
  <si>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</si>
  <si>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</si>
  <si>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</si>
  <si>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</si>
  <si>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</si>
  <si>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</si>
  <si>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</si>
  <si>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</si>
  <si>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</si>
  <si>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</si>
  <si>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</si>
  <si>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</si>
  <si>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</si>
  <si>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</si>
  <si>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</si>
  <si>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</si>
  <si>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</si>
  <si>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</si>
  <si>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</si>
  <si>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</si>
  <si>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</si>
  <si>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</si>
  <si>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</si>
  <si>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</si>
  <si>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</si>
  <si>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</si>
  <si>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</si>
  <si>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</si>
  <si>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</si>
  <si>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</si>
  <si>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</si>
  <si>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</si>
  <si>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</si>
  <si>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</si>
  <si>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</si>
  <si>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</si>
  <si>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</si>
  <si>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</si>
  <si>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</si>
  <si>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</si>
  <si>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</si>
  <si>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</si>
  <si>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</si>
  <si>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</si>
  <si>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</si>
  <si>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</si>
  <si>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</si>
  <si>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</si>
  <si>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</si>
  <si>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</si>
  <si>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</si>
  <si>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</si>
  <si>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</si>
  <si>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</si>
  <si>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</si>
  <si>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</si>
  <si>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</si>
  <si>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</si>
  <si>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</si>
  <si>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</si>
  <si>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</si>
  <si>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</si>
  <si>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</si>
  <si>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</si>
  <si>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</si>
  <si>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</si>
  <si>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</si>
  <si>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</si>
  <si>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</si>
  <si>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</si>
  <si>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</si>
  <si>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</si>
  <si>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</si>
  <si>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</si>
  <si>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</si>
  <si>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</si>
  <si>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</si>
  <si>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</si>
  <si>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</si>
  <si>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</si>
  <si>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</si>
  <si>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</si>
  <si>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</si>
  <si>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</si>
  <si>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</si>
  <si>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</si>
  <si>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</si>
  <si>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</si>
  <si>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</si>
  <si>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</si>
  <si>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</si>
  <si>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</si>
  <si>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</si>
  <si>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</si>
  <si>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</si>
  <si>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</si>
  <si>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</si>
  <si>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</si>
  <si>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</si>
  <si>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</si>
  <si>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</si>
  <si>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</si>
  <si>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</si>
  <si>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</si>
  <si>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</si>
  <si>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</si>
  <si>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</si>
  <si>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</si>
  <si>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</si>
  <si>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</si>
  <si>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</si>
  <si>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</si>
  <si>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</si>
  <si>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</si>
  <si>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</si>
  <si>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</si>
  <si>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</si>
  <si>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</si>
  <si>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</si>
  <si>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</si>
  <si>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</si>
  <si>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</si>
  <si>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</si>
  <si>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</si>
  <si>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</si>
  <si>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</si>
  <si>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</si>
  <si>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</si>
  <si>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</si>
  <si>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</si>
  <si>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</si>
  <si>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</si>
  <si>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</si>
  <si>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</si>
  <si>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</si>
  <si>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</si>
  <si>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</si>
  <si>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</si>
  <si>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</si>
  <si>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</si>
  <si>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</si>
  <si>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</si>
  <si>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</si>
  <si>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</si>
  <si>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</si>
  <si>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</si>
  <si>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</si>
  <si>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</si>
  <si>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</si>
  <si>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</si>
  <si>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</si>
  <si>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</si>
  <si>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</si>
  <si>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</si>
  <si>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</si>
  <si>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</si>
  <si>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</si>
  <si>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</si>
  <si>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</si>
  <si>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</si>
  <si>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</si>
  <si>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</si>
  <si>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</si>
  <si>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</si>
  <si>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</si>
  <si>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</si>
  <si>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</si>
  <si>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</si>
  <si>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</si>
  <si>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</si>
  <si>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</si>
  <si>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</si>
  <si>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</si>
  <si>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</si>
  <si>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</si>
  <si>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</si>
  <si>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</si>
  <si>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</si>
  <si>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</si>
  <si>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</si>
  <si>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</si>
  <si>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</si>
  <si>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</si>
  <si>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</si>
  <si>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</si>
  <si>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</si>
  <si>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</si>
  <si>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</si>
  <si>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</si>
  <si>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</si>
  <si>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</si>
  <si>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</si>
  <si>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</si>
  <si>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</si>
  <si>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</si>
  <si>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</si>
  <si>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</si>
  <si>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</si>
  <si>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</si>
  <si>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</si>
  <si>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</si>
  <si>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</si>
  <si>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</si>
  <si>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</si>
  <si>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</si>
  <si>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</si>
  <si>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</si>
  <si>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</si>
  <si>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</si>
  <si>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</si>
  <si>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</si>
  <si>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</si>
  <si>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</si>
  <si>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</si>
  <si>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</si>
  <si>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</si>
  <si>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</si>
  <si>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</si>
  <si>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</si>
  <si>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</si>
  <si>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</si>
  <si>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</si>
  <si>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</si>
  <si>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20 января 2023 г. № 14)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</si>
  <si>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</si>
  <si>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</si>
  <si>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</si>
  <si>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012Е220980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</si>
  <si>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</si>
  <si>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</si>
  <si>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012Е251710</t>
  </si>
  <si>
    <t>012Е452130</t>
  </si>
  <si>
    <t>974 0702 012Е220980 600</t>
  </si>
  <si>
    <t>974 0702 012Е251710 600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</si>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</sst>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1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0"/>
  <sheetViews>
    <sheetView view="pageBreakPreview" zoomScale="70" zoomScaleSheetLayoutView="70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4" width="9.28515625" style="9" bestFit="1" customWidth="1"/>
    <col min="15" max="15" width="11.7109375" style="9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53" t="s">
        <v>196</v>
      </c>
      <c r="O2" s="153"/>
    </row>
    <row r="3" spans="1:20" ht="106.5" customHeight="1">
      <c r="K3" s="166" t="s">
        <v>225</v>
      </c>
      <c r="L3" s="166"/>
      <c r="M3" s="166"/>
      <c r="N3" s="166"/>
      <c r="O3" s="166"/>
      <c r="P3" s="166"/>
      <c r="Q3" s="166"/>
    </row>
    <row r="4" spans="1:20">
      <c r="J4" s="53"/>
      <c r="K4" s="53"/>
      <c r="L4" s="53"/>
      <c r="M4" s="53"/>
      <c r="N4" s="107"/>
      <c r="O4" s="114"/>
      <c r="P4" s="99"/>
    </row>
    <row r="5" spans="1:20" ht="72" customHeight="1">
      <c r="B5" s="165" t="s">
        <v>197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99"/>
    </row>
    <row r="6" spans="1:20" ht="15.75" thickBot="1"/>
    <row r="7" spans="1:20" ht="61.5" customHeight="1" thickBot="1">
      <c r="A7" s="123" t="s">
        <v>0</v>
      </c>
      <c r="B7" s="123" t="s">
        <v>1</v>
      </c>
      <c r="C7" s="123" t="s">
        <v>2</v>
      </c>
      <c r="D7" s="125" t="s">
        <v>3</v>
      </c>
      <c r="E7" s="126"/>
      <c r="F7" s="126"/>
      <c r="G7" s="127"/>
      <c r="H7" s="157" t="s">
        <v>4</v>
      </c>
      <c r="I7" s="158"/>
      <c r="J7" s="158"/>
      <c r="K7" s="158"/>
      <c r="L7" s="158"/>
      <c r="M7" s="158"/>
      <c r="N7" s="158"/>
      <c r="O7" s="158"/>
      <c r="P7" s="158"/>
      <c r="Q7" s="159"/>
    </row>
    <row r="8" spans="1:20" ht="15.75" thickBot="1">
      <c r="A8" s="124"/>
      <c r="B8" s="124"/>
      <c r="C8" s="124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2">
        <v>2022</v>
      </c>
      <c r="O8" s="102">
        <v>2023</v>
      </c>
      <c r="P8" s="102">
        <v>2024</v>
      </c>
      <c r="Q8" s="102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2">
        <v>14</v>
      </c>
      <c r="O9" s="102">
        <v>15</v>
      </c>
      <c r="P9" s="102">
        <v>16</v>
      </c>
      <c r="Q9" s="102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H11+H44+H80+H88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108">
        <f t="shared" si="0"/>
        <v>269207.48</v>
      </c>
      <c r="O10" s="113">
        <f t="shared" si="0"/>
        <v>369748.83</v>
      </c>
      <c r="P10" s="97">
        <f t="shared" si="0"/>
        <v>220330.28</v>
      </c>
      <c r="Q10" s="97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H16+H19+H22+H26+H32+H38+H40+H43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N16+N19+N22+N26+N32+N38+N40+N43</f>
        <v>238682</v>
      </c>
      <c r="O11" s="6">
        <f t="shared" ref="O11:P11" si="2">O16+O19+O22+O26+O32+O38+O40+O43</f>
        <v>226746.1</v>
      </c>
      <c r="P11" s="6">
        <f t="shared" si="2"/>
        <v>197110.28</v>
      </c>
      <c r="Q11" s="6">
        <f t="shared" si="1"/>
        <v>197017.10000000003</v>
      </c>
    </row>
    <row r="12" spans="1:20" ht="37.5" customHeight="1" thickBot="1">
      <c r="A12" s="128" t="s">
        <v>14</v>
      </c>
      <c r="B12" s="128" t="s">
        <v>15</v>
      </c>
      <c r="C12" s="128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10275.9+7499.1</f>
        <v>17775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29"/>
      <c r="B13" s="129"/>
      <c r="C13" s="129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25210.7+11837.8+174</f>
        <v>37222.5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29"/>
      <c r="B14" s="129"/>
      <c r="C14" s="129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29"/>
      <c r="B15" s="129"/>
      <c r="C15" s="129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v>3427.1</v>
      </c>
      <c r="P15" s="5">
        <v>2700.3</v>
      </c>
      <c r="Q15" s="5">
        <v>2387.4</v>
      </c>
    </row>
    <row r="16" spans="1:20" ht="37.5" customHeight="1" thickBot="1">
      <c r="A16" s="130"/>
      <c r="B16" s="130"/>
      <c r="C16" s="130"/>
      <c r="D16" s="125" t="s">
        <v>17</v>
      </c>
      <c r="E16" s="126"/>
      <c r="F16" s="126"/>
      <c r="G16" s="127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58424.6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28" t="s">
        <v>14</v>
      </c>
      <c r="B17" s="128" t="s">
        <v>18</v>
      </c>
      <c r="C17" s="123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29"/>
      <c r="B18" s="129"/>
      <c r="C18" s="160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30"/>
      <c r="B19" s="130"/>
      <c r="C19" s="124"/>
      <c r="D19" s="125" t="s">
        <v>17</v>
      </c>
      <c r="E19" s="126"/>
      <c r="F19" s="126"/>
      <c r="G19" s="127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28" t="s">
        <v>14</v>
      </c>
      <c r="B20" s="128" t="s">
        <v>19</v>
      </c>
      <c r="C20" s="133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108">
        <f>3587+272.7+908</f>
        <v>4767.7</v>
      </c>
      <c r="O20" s="113">
        <v>5337.6</v>
      </c>
      <c r="P20" s="97">
        <v>4803.8</v>
      </c>
      <c r="Q20" s="97">
        <v>4803.8</v>
      </c>
    </row>
    <row r="21" spans="1:18" ht="48" customHeight="1" thickBot="1">
      <c r="A21" s="129"/>
      <c r="B21" s="129"/>
      <c r="C21" s="135"/>
      <c r="D21" s="23">
        <v>974</v>
      </c>
      <c r="E21" s="23" t="s">
        <v>136</v>
      </c>
      <c r="F21" s="98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30"/>
      <c r="B22" s="130"/>
      <c r="C22" s="134"/>
      <c r="D22" s="125" t="s">
        <v>17</v>
      </c>
      <c r="E22" s="126"/>
      <c r="F22" s="126"/>
      <c r="G22" s="127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28" t="s">
        <v>14</v>
      </c>
      <c r="B23" s="128" t="s">
        <v>20</v>
      </c>
      <c r="C23" s="133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29"/>
      <c r="B24" s="129"/>
      <c r="C24" s="135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29"/>
      <c r="B25" s="129"/>
      <c r="C25" s="135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30"/>
      <c r="B26" s="130"/>
      <c r="C26" s="134"/>
      <c r="D26" s="125" t="s">
        <v>17</v>
      </c>
      <c r="E26" s="126"/>
      <c r="F26" s="126"/>
      <c r="G26" s="127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28" t="s">
        <v>14</v>
      </c>
      <c r="B27" s="128" t="s">
        <v>21</v>
      </c>
      <c r="C27" s="133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29"/>
      <c r="B28" s="129"/>
      <c r="C28" s="135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29"/>
      <c r="B29" s="129"/>
      <c r="C29" s="135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108.3</v>
      </c>
      <c r="O29" s="5">
        <v>58.7</v>
      </c>
      <c r="P29" s="5">
        <v>0</v>
      </c>
      <c r="Q29" s="5">
        <v>0</v>
      </c>
    </row>
    <row r="30" spans="1:18" ht="37.5" customHeight="1" thickBot="1">
      <c r="A30" s="129"/>
      <c r="B30" s="129"/>
      <c r="C30" s="135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4867.1+2338.8</f>
        <v>7205.9000000000005</v>
      </c>
      <c r="P30" s="5">
        <v>0</v>
      </c>
      <c r="Q30" s="5">
        <v>0</v>
      </c>
    </row>
    <row r="31" spans="1:18" ht="37.5" customHeight="1" thickBot="1">
      <c r="A31" s="129"/>
      <c r="B31" s="129"/>
      <c r="C31" s="135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108">
        <v>0</v>
      </c>
      <c r="O31" s="113">
        <v>0</v>
      </c>
      <c r="P31" s="97">
        <v>0</v>
      </c>
      <c r="Q31" s="97">
        <v>0</v>
      </c>
    </row>
    <row r="32" spans="1:18" ht="37.5" customHeight="1" thickBot="1">
      <c r="A32" s="130"/>
      <c r="B32" s="130"/>
      <c r="C32" s="134"/>
      <c r="D32" s="125" t="s">
        <v>17</v>
      </c>
      <c r="E32" s="126"/>
      <c r="F32" s="126"/>
      <c r="G32" s="127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11991.5</v>
      </c>
      <c r="O32" s="6">
        <f t="shared" si="9"/>
        <v>7264.6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28" t="s">
        <v>14</v>
      </c>
      <c r="B33" s="128" t="s">
        <v>22</v>
      </c>
      <c r="C33" s="133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29"/>
      <c r="B34" s="129"/>
      <c r="C34" s="135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29"/>
      <c r="B35" s="129"/>
      <c r="C35" s="135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0</v>
      </c>
      <c r="P35" s="5">
        <v>0</v>
      </c>
      <c r="Q35" s="5">
        <v>0</v>
      </c>
    </row>
    <row r="36" spans="1:17" ht="37.5" customHeight="1" thickBot="1">
      <c r="A36" s="129"/>
      <c r="B36" s="129"/>
      <c r="C36" s="135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300</v>
      </c>
      <c r="P36" s="5">
        <v>0</v>
      </c>
      <c r="Q36" s="5">
        <v>0</v>
      </c>
    </row>
    <row r="37" spans="1:17" ht="37.5" customHeight="1" thickBot="1">
      <c r="A37" s="129"/>
      <c r="B37" s="129"/>
      <c r="C37" s="135"/>
      <c r="D37" s="18">
        <v>974</v>
      </c>
      <c r="E37" s="18" t="s">
        <v>139</v>
      </c>
      <c r="F37" s="18" t="s">
        <v>157</v>
      </c>
      <c r="G37" s="28">
        <v>600</v>
      </c>
      <c r="H37" s="68"/>
      <c r="I37" s="68">
        <v>41.6</v>
      </c>
      <c r="J37" s="68">
        <v>0</v>
      </c>
      <c r="K37" s="68">
        <v>231.3</v>
      </c>
      <c r="L37" s="68">
        <v>0</v>
      </c>
      <c r="M37" s="68">
        <v>0</v>
      </c>
      <c r="N37" s="5">
        <v>0</v>
      </c>
      <c r="O37" s="5">
        <v>0</v>
      </c>
      <c r="P37" s="5">
        <v>0</v>
      </c>
      <c r="Q37" s="5">
        <v>0</v>
      </c>
    </row>
    <row r="38" spans="1:17" ht="37.5" customHeight="1" thickBot="1">
      <c r="A38" s="130"/>
      <c r="B38" s="130"/>
      <c r="C38" s="134"/>
      <c r="D38" s="125" t="s">
        <v>17</v>
      </c>
      <c r="E38" s="126"/>
      <c r="F38" s="126"/>
      <c r="G38" s="127"/>
      <c r="H38" s="68">
        <v>1199.0999999999999</v>
      </c>
      <c r="I38" s="68">
        <f t="shared" ref="I38:Q38" si="10">SUM(I33:I37)</f>
        <v>1130.1999999999998</v>
      </c>
      <c r="J38" s="68">
        <f t="shared" si="10"/>
        <v>651.6</v>
      </c>
      <c r="K38" s="68">
        <f t="shared" si="10"/>
        <v>6405.5</v>
      </c>
      <c r="L38" s="68">
        <f t="shared" si="10"/>
        <v>3183.9</v>
      </c>
      <c r="M38" s="68">
        <f t="shared" si="10"/>
        <v>5615.7</v>
      </c>
      <c r="N38" s="5">
        <f t="shared" ref="N38:P38" si="11">SUM(N33:N37)</f>
        <v>5768</v>
      </c>
      <c r="O38" s="5">
        <f t="shared" si="11"/>
        <v>300</v>
      </c>
      <c r="P38" s="5">
        <f t="shared" si="11"/>
        <v>0</v>
      </c>
      <c r="Q38" s="5">
        <f t="shared" si="10"/>
        <v>0</v>
      </c>
    </row>
    <row r="39" spans="1:17" ht="37.5" customHeight="1" thickBot="1">
      <c r="A39" s="131" t="s">
        <v>14</v>
      </c>
      <c r="B39" s="131" t="s">
        <v>23</v>
      </c>
      <c r="C39" s="133" t="s">
        <v>16</v>
      </c>
      <c r="D39" s="18">
        <v>974</v>
      </c>
      <c r="E39" s="18" t="s">
        <v>136</v>
      </c>
      <c r="F39" s="18" t="s">
        <v>24</v>
      </c>
      <c r="G39" s="26">
        <v>600</v>
      </c>
      <c r="H39" s="68"/>
      <c r="I39" s="68"/>
      <c r="J39" s="68"/>
      <c r="K39" s="68"/>
      <c r="L39" s="68"/>
      <c r="M39" s="68">
        <v>20244.400000000001</v>
      </c>
      <c r="N39" s="5"/>
      <c r="O39" s="5"/>
      <c r="P39" s="5"/>
      <c r="Q39" s="5"/>
    </row>
    <row r="40" spans="1:17" ht="75" customHeight="1" thickBot="1">
      <c r="A40" s="132"/>
      <c r="B40" s="132"/>
      <c r="C40" s="134"/>
      <c r="D40" s="125" t="s">
        <v>17</v>
      </c>
      <c r="E40" s="126"/>
      <c r="F40" s="126"/>
      <c r="G40" s="127"/>
      <c r="H40" s="68"/>
      <c r="I40" s="68"/>
      <c r="J40" s="68"/>
      <c r="K40" s="68"/>
      <c r="L40" s="68"/>
      <c r="M40" s="68">
        <v>20244.400000000001</v>
      </c>
      <c r="N40" s="5"/>
      <c r="O40" s="6"/>
      <c r="P40" s="5"/>
      <c r="Q40" s="5"/>
    </row>
    <row r="41" spans="1:17" ht="37.5" customHeight="1" thickBot="1">
      <c r="A41" s="131" t="s">
        <v>14</v>
      </c>
      <c r="B41" s="131" t="s">
        <v>25</v>
      </c>
      <c r="C41" s="133" t="s">
        <v>16</v>
      </c>
      <c r="D41" s="18">
        <v>974</v>
      </c>
      <c r="E41" s="18" t="s">
        <v>136</v>
      </c>
      <c r="F41" s="18" t="s">
        <v>26</v>
      </c>
      <c r="G41" s="26">
        <v>600</v>
      </c>
      <c r="H41" s="5"/>
      <c r="I41" s="5"/>
      <c r="J41" s="5"/>
      <c r="K41" s="5"/>
      <c r="L41" s="5">
        <v>2421.6999999999998</v>
      </c>
      <c r="M41" s="5"/>
      <c r="N41" s="5"/>
      <c r="O41" s="5"/>
      <c r="P41" s="5"/>
      <c r="Q41" s="5"/>
    </row>
    <row r="42" spans="1:17" ht="37.5" customHeight="1" thickBot="1">
      <c r="A42" s="136"/>
      <c r="B42" s="136"/>
      <c r="C42" s="135"/>
      <c r="D42" s="18">
        <v>974</v>
      </c>
      <c r="E42" s="18" t="s">
        <v>136</v>
      </c>
      <c r="F42" s="93" t="s">
        <v>216</v>
      </c>
      <c r="G42" s="28">
        <v>600</v>
      </c>
      <c r="H42" s="5"/>
      <c r="I42" s="5"/>
      <c r="J42" s="5"/>
      <c r="K42" s="5"/>
      <c r="L42" s="5"/>
      <c r="M42" s="5">
        <v>7030.8</v>
      </c>
      <c r="N42" s="5">
        <v>7109.1</v>
      </c>
      <c r="O42" s="5">
        <v>7265.2</v>
      </c>
      <c r="P42" s="5">
        <v>7265.2</v>
      </c>
      <c r="Q42" s="5">
        <v>7265.2</v>
      </c>
    </row>
    <row r="43" spans="1:17" ht="82.5" customHeight="1" thickBot="1">
      <c r="A43" s="132"/>
      <c r="B43" s="132"/>
      <c r="C43" s="134"/>
      <c r="D43" s="125" t="s">
        <v>17</v>
      </c>
      <c r="E43" s="126"/>
      <c r="F43" s="126"/>
      <c r="G43" s="127"/>
      <c r="H43" s="5">
        <f>SUM(H41:H42)</f>
        <v>0</v>
      </c>
      <c r="I43" s="5">
        <f t="shared" ref="I43:Q43" si="12">SUM(I41:I42)</f>
        <v>0</v>
      </c>
      <c r="J43" s="5">
        <f t="shared" si="12"/>
        <v>0</v>
      </c>
      <c r="K43" s="5">
        <f t="shared" si="12"/>
        <v>0</v>
      </c>
      <c r="L43" s="5">
        <f t="shared" si="12"/>
        <v>2421.6999999999998</v>
      </c>
      <c r="M43" s="5">
        <f t="shared" si="12"/>
        <v>7030.8</v>
      </c>
      <c r="N43" s="5">
        <f t="shared" ref="N43:P43" si="13">SUM(N41:N42)</f>
        <v>7109.1</v>
      </c>
      <c r="O43" s="5">
        <f t="shared" si="13"/>
        <v>7265.2</v>
      </c>
      <c r="P43" s="5">
        <f t="shared" si="13"/>
        <v>7265.2</v>
      </c>
      <c r="Q43" s="5">
        <f t="shared" si="12"/>
        <v>7265.2</v>
      </c>
    </row>
    <row r="44" spans="1:17" ht="109.5" customHeight="1" thickBot="1">
      <c r="A44" s="21" t="s">
        <v>12</v>
      </c>
      <c r="B44" s="21" t="s">
        <v>27</v>
      </c>
      <c r="C44" s="25" t="s">
        <v>50</v>
      </c>
      <c r="D44" s="23" t="s">
        <v>11</v>
      </c>
      <c r="E44" s="23" t="s">
        <v>11</v>
      </c>
      <c r="F44" s="23" t="s">
        <v>11</v>
      </c>
      <c r="G44" s="24" t="s">
        <v>28</v>
      </c>
      <c r="H44" s="12">
        <f t="shared" ref="H44:M44" si="14">H45+H48+H55+H63+H66</f>
        <v>576.20000000000005</v>
      </c>
      <c r="I44" s="12">
        <f t="shared" si="14"/>
        <v>713.7</v>
      </c>
      <c r="J44" s="12">
        <f t="shared" si="14"/>
        <v>2506.9</v>
      </c>
      <c r="K44" s="12">
        <f t="shared" si="14"/>
        <v>498.90000000000003</v>
      </c>
      <c r="L44" s="12">
        <f t="shared" si="14"/>
        <v>3634.3</v>
      </c>
      <c r="M44" s="12">
        <f t="shared" si="14"/>
        <v>2444</v>
      </c>
      <c r="N44" s="108">
        <f>N45+N48+N55+N63+N66+N68+N74</f>
        <v>16205.38</v>
      </c>
      <c r="O44" s="113">
        <f>O45+O48+O55+O63+O66+O70+O74+O79</f>
        <v>124798.09000000001</v>
      </c>
      <c r="P44" s="97">
        <f>P45+P48+P55+P63+P66</f>
        <v>7119.8</v>
      </c>
      <c r="Q44" s="97">
        <f>Q45+Q48+Q55+Q63+Q66</f>
        <v>7432.7000000000007</v>
      </c>
    </row>
    <row r="45" spans="1:17" ht="37.5" customHeight="1">
      <c r="A45" s="128" t="s">
        <v>14</v>
      </c>
      <c r="B45" s="128" t="s">
        <v>29</v>
      </c>
      <c r="C45" s="133" t="s">
        <v>48</v>
      </c>
      <c r="D45" s="139" t="s">
        <v>17</v>
      </c>
      <c r="E45" s="140"/>
      <c r="F45" s="140"/>
      <c r="G45" s="141"/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v>0</v>
      </c>
    </row>
    <row r="46" spans="1:17" ht="51.75" customHeight="1" thickBot="1">
      <c r="A46" s="129"/>
      <c r="B46" s="129"/>
      <c r="C46" s="135"/>
      <c r="D46" s="142"/>
      <c r="E46" s="143"/>
      <c r="F46" s="143"/>
      <c r="G46" s="144"/>
      <c r="H46" s="138"/>
      <c r="I46" s="138"/>
      <c r="J46" s="138"/>
      <c r="K46" s="138"/>
      <c r="L46" s="138"/>
      <c r="M46" s="138"/>
      <c r="N46" s="138"/>
      <c r="O46" s="138"/>
      <c r="P46" s="138"/>
      <c r="Q46" s="138"/>
    </row>
    <row r="47" spans="1:17" ht="37.5" customHeight="1" thickBot="1">
      <c r="A47" s="128" t="s">
        <v>14</v>
      </c>
      <c r="B47" s="128" t="s">
        <v>30</v>
      </c>
      <c r="C47" s="133" t="s">
        <v>49</v>
      </c>
      <c r="D47" s="31">
        <v>974</v>
      </c>
      <c r="E47" s="18" t="s">
        <v>136</v>
      </c>
      <c r="F47" s="18" t="s">
        <v>31</v>
      </c>
      <c r="G47" s="18">
        <v>600</v>
      </c>
      <c r="H47" s="10"/>
      <c r="I47" s="10"/>
      <c r="J47" s="10">
        <v>2010</v>
      </c>
      <c r="K47" s="10"/>
      <c r="L47" s="10"/>
      <c r="M47" s="10"/>
      <c r="N47" s="10"/>
      <c r="O47" s="10"/>
      <c r="P47" s="10"/>
      <c r="Q47" s="10"/>
    </row>
    <row r="48" spans="1:17" ht="67.5" customHeight="1" thickBot="1">
      <c r="A48" s="130"/>
      <c r="B48" s="130"/>
      <c r="C48" s="134"/>
      <c r="D48" s="125" t="s">
        <v>17</v>
      </c>
      <c r="E48" s="126"/>
      <c r="F48" s="126"/>
      <c r="G48" s="127"/>
      <c r="H48" s="5">
        <f>H47</f>
        <v>0</v>
      </c>
      <c r="I48" s="5">
        <f t="shared" ref="I48:Q48" si="15">I47</f>
        <v>0</v>
      </c>
      <c r="J48" s="5">
        <f t="shared" si="15"/>
        <v>2010</v>
      </c>
      <c r="K48" s="5">
        <f t="shared" si="15"/>
        <v>0</v>
      </c>
      <c r="L48" s="5">
        <f t="shared" si="15"/>
        <v>0</v>
      </c>
      <c r="M48" s="5">
        <f t="shared" si="15"/>
        <v>0</v>
      </c>
      <c r="N48" s="5">
        <f t="shared" si="15"/>
        <v>0</v>
      </c>
      <c r="O48" s="5">
        <f t="shared" si="15"/>
        <v>0</v>
      </c>
      <c r="P48" s="5">
        <f t="shared" si="15"/>
        <v>0</v>
      </c>
      <c r="Q48" s="5">
        <f t="shared" si="15"/>
        <v>0</v>
      </c>
    </row>
    <row r="49" spans="1:17" ht="37.5" customHeight="1" thickBot="1">
      <c r="A49" s="128" t="s">
        <v>14</v>
      </c>
      <c r="B49" s="128" t="s">
        <v>32</v>
      </c>
      <c r="C49" s="151" t="s">
        <v>16</v>
      </c>
      <c r="D49" s="32">
        <v>974</v>
      </c>
      <c r="E49" s="18" t="s">
        <v>151</v>
      </c>
      <c r="F49" s="18" t="s">
        <v>155</v>
      </c>
      <c r="G49" s="34">
        <v>600</v>
      </c>
      <c r="H49" s="5">
        <v>407.4</v>
      </c>
      <c r="I49" s="5">
        <v>582.20000000000005</v>
      </c>
      <c r="J49" s="5"/>
      <c r="K49" s="5"/>
      <c r="L49" s="5"/>
      <c r="M49" s="5"/>
      <c r="N49" s="5"/>
      <c r="O49" s="5"/>
      <c r="P49" s="5"/>
      <c r="Q49" s="5"/>
    </row>
    <row r="50" spans="1:17" ht="37.5" customHeight="1" thickBot="1">
      <c r="A50" s="129"/>
      <c r="B50" s="129"/>
      <c r="C50" s="152"/>
      <c r="D50" s="32">
        <v>974</v>
      </c>
      <c r="E50" s="18" t="s">
        <v>151</v>
      </c>
      <c r="F50" s="18" t="s">
        <v>33</v>
      </c>
      <c r="G50" s="34">
        <v>600</v>
      </c>
      <c r="H50" s="5"/>
      <c r="I50" s="5"/>
      <c r="J50" s="5">
        <v>382.4</v>
      </c>
      <c r="K50" s="5">
        <v>375.1</v>
      </c>
      <c r="L50" s="5">
        <v>0</v>
      </c>
      <c r="M50" s="5">
        <v>355.9</v>
      </c>
      <c r="N50" s="5">
        <f>354.6+1.3</f>
        <v>355.90000000000003</v>
      </c>
      <c r="O50" s="5"/>
      <c r="P50" s="5"/>
      <c r="Q50" s="5"/>
    </row>
    <row r="51" spans="1:17" ht="37.5" customHeight="1" thickBot="1">
      <c r="A51" s="129"/>
      <c r="B51" s="129"/>
      <c r="C51" s="152"/>
      <c r="D51" s="32">
        <v>974</v>
      </c>
      <c r="E51" s="95" t="s">
        <v>144</v>
      </c>
      <c r="F51" s="95" t="s">
        <v>33</v>
      </c>
      <c r="G51" s="34">
        <v>600</v>
      </c>
      <c r="H51" s="5"/>
      <c r="I51" s="5"/>
      <c r="J51" s="5"/>
      <c r="K51" s="5"/>
      <c r="L51" s="5"/>
      <c r="M51" s="5"/>
      <c r="N51" s="5"/>
      <c r="O51" s="5">
        <f>362+3.8</f>
        <v>365.8</v>
      </c>
      <c r="P51" s="5">
        <f>325.8+3.3</f>
        <v>329.1</v>
      </c>
      <c r="Q51" s="5">
        <f>325.8+3.3</f>
        <v>329.1</v>
      </c>
    </row>
    <row r="52" spans="1:17" ht="37.5" customHeight="1" thickBot="1">
      <c r="A52" s="129"/>
      <c r="B52" s="129"/>
      <c r="C52" s="152"/>
      <c r="D52" s="32">
        <v>974</v>
      </c>
      <c r="E52" s="18" t="s">
        <v>151</v>
      </c>
      <c r="F52" s="18" t="s">
        <v>156</v>
      </c>
      <c r="G52" s="34">
        <v>800</v>
      </c>
      <c r="H52" s="5">
        <v>0</v>
      </c>
      <c r="I52" s="5">
        <v>0</v>
      </c>
      <c r="J52" s="5">
        <v>0</v>
      </c>
      <c r="K52" s="5">
        <v>5.0999999999999996</v>
      </c>
      <c r="L52" s="5">
        <v>0</v>
      </c>
      <c r="M52" s="5">
        <v>5.0999999999999996</v>
      </c>
      <c r="N52" s="5">
        <v>0</v>
      </c>
      <c r="O52" s="5"/>
      <c r="P52" s="5"/>
      <c r="Q52" s="5"/>
    </row>
    <row r="53" spans="1:17" ht="37.5" customHeight="1" thickBot="1">
      <c r="A53" s="129"/>
      <c r="B53" s="129"/>
      <c r="C53" s="152"/>
      <c r="D53" s="32">
        <v>974</v>
      </c>
      <c r="E53" s="18" t="s">
        <v>151</v>
      </c>
      <c r="F53" s="18" t="s">
        <v>154</v>
      </c>
      <c r="G53" s="34">
        <v>100</v>
      </c>
      <c r="H53" s="5">
        <v>168.8</v>
      </c>
      <c r="I53" s="5">
        <v>131.5</v>
      </c>
      <c r="J53" s="5"/>
      <c r="K53" s="5"/>
      <c r="L53" s="5"/>
      <c r="M53" s="5"/>
      <c r="N53" s="5"/>
      <c r="O53" s="5"/>
      <c r="P53" s="5"/>
      <c r="Q53" s="5"/>
    </row>
    <row r="54" spans="1:17" ht="37.5" customHeight="1" thickBot="1">
      <c r="A54" s="129"/>
      <c r="B54" s="129"/>
      <c r="C54" s="152"/>
      <c r="D54" s="32">
        <v>974</v>
      </c>
      <c r="E54" s="18" t="s">
        <v>144</v>
      </c>
      <c r="F54" s="18" t="s">
        <v>154</v>
      </c>
      <c r="G54" s="34">
        <v>100</v>
      </c>
      <c r="H54" s="5"/>
      <c r="I54" s="5"/>
      <c r="J54" s="5">
        <v>114.5</v>
      </c>
      <c r="K54" s="5">
        <v>118.7</v>
      </c>
      <c r="L54" s="5">
        <v>123.8</v>
      </c>
      <c r="M54" s="5">
        <v>127.5</v>
      </c>
      <c r="N54" s="5">
        <v>151.6</v>
      </c>
      <c r="O54" s="5">
        <f>133.7+40.4</f>
        <v>174.1</v>
      </c>
      <c r="P54" s="5">
        <v>156.69999999999999</v>
      </c>
      <c r="Q54" s="5">
        <v>156.69999999999999</v>
      </c>
    </row>
    <row r="55" spans="1:17" ht="37.5" customHeight="1" thickBot="1">
      <c r="A55" s="129"/>
      <c r="B55" s="129"/>
      <c r="C55" s="152"/>
      <c r="D55" s="125" t="s">
        <v>17</v>
      </c>
      <c r="E55" s="126"/>
      <c r="F55" s="126"/>
      <c r="G55" s="127"/>
      <c r="H55" s="6">
        <f>SUM(H49:H54)</f>
        <v>576.20000000000005</v>
      </c>
      <c r="I55" s="6">
        <f t="shared" ref="I55:Q55" si="16">SUM(I49:I54)</f>
        <v>713.7</v>
      </c>
      <c r="J55" s="6">
        <f t="shared" si="16"/>
        <v>496.9</v>
      </c>
      <c r="K55" s="6">
        <f t="shared" si="16"/>
        <v>498.90000000000003</v>
      </c>
      <c r="L55" s="6">
        <f t="shared" si="16"/>
        <v>123.8</v>
      </c>
      <c r="M55" s="6">
        <f t="shared" si="16"/>
        <v>488.5</v>
      </c>
      <c r="N55" s="6">
        <f t="shared" si="16"/>
        <v>507.5</v>
      </c>
      <c r="O55" s="6">
        <f t="shared" si="16"/>
        <v>539.9</v>
      </c>
      <c r="P55" s="6">
        <f t="shared" si="16"/>
        <v>485.8</v>
      </c>
      <c r="Q55" s="6">
        <f t="shared" si="16"/>
        <v>485.8</v>
      </c>
    </row>
    <row r="56" spans="1:17" ht="37.5" customHeight="1" thickBot="1">
      <c r="A56" s="145" t="s">
        <v>34</v>
      </c>
      <c r="B56" s="145" t="s">
        <v>35</v>
      </c>
      <c r="C56" s="145" t="s">
        <v>49</v>
      </c>
      <c r="D56" s="32">
        <v>974</v>
      </c>
      <c r="E56" s="27" t="s">
        <v>136</v>
      </c>
      <c r="F56" s="27" t="s">
        <v>36</v>
      </c>
      <c r="G56" s="34">
        <v>600</v>
      </c>
      <c r="H56" s="5"/>
      <c r="I56" s="5"/>
      <c r="J56" s="5"/>
      <c r="K56" s="5"/>
      <c r="L56" s="5">
        <v>3510.5</v>
      </c>
      <c r="M56" s="5">
        <v>0</v>
      </c>
      <c r="N56" s="5">
        <f>4016.3</f>
        <v>4016.3</v>
      </c>
      <c r="O56" s="5"/>
      <c r="P56" s="5"/>
      <c r="Q56" s="5"/>
    </row>
    <row r="57" spans="1:17" ht="37.5" customHeight="1" thickBot="1">
      <c r="A57" s="146"/>
      <c r="B57" s="146"/>
      <c r="C57" s="146"/>
      <c r="D57" s="32">
        <v>974</v>
      </c>
      <c r="E57" s="27" t="s">
        <v>136</v>
      </c>
      <c r="F57" s="27" t="s">
        <v>194</v>
      </c>
      <c r="G57" s="61">
        <v>600</v>
      </c>
      <c r="H57" s="5"/>
      <c r="I57" s="5"/>
      <c r="J57" s="5"/>
      <c r="K57" s="5"/>
      <c r="L57" s="5"/>
      <c r="M57" s="5"/>
      <c r="N57" s="5">
        <f>100-20.32</f>
        <v>79.680000000000007</v>
      </c>
      <c r="O57" s="5"/>
      <c r="P57" s="5"/>
      <c r="Q57" s="5"/>
    </row>
    <row r="58" spans="1:17" ht="37.5" customHeight="1" thickBot="1">
      <c r="A58" s="146"/>
      <c r="B58" s="146"/>
      <c r="C58" s="146"/>
      <c r="D58" s="32">
        <v>974</v>
      </c>
      <c r="E58" s="27" t="s">
        <v>136</v>
      </c>
      <c r="F58" s="27" t="s">
        <v>229</v>
      </c>
      <c r="G58" s="61">
        <v>600</v>
      </c>
      <c r="H58" s="5"/>
      <c r="I58" s="5"/>
      <c r="J58" s="5"/>
      <c r="K58" s="5"/>
      <c r="L58" s="5"/>
      <c r="M58" s="5"/>
      <c r="N58" s="5"/>
      <c r="O58" s="5">
        <v>249.77</v>
      </c>
      <c r="P58" s="5"/>
      <c r="Q58" s="5"/>
    </row>
    <row r="59" spans="1:17" ht="37.5" customHeight="1" thickBot="1">
      <c r="A59" s="146"/>
      <c r="B59" s="146"/>
      <c r="C59" s="146"/>
      <c r="D59" s="32">
        <v>974</v>
      </c>
      <c r="E59" s="27" t="s">
        <v>136</v>
      </c>
      <c r="F59" s="27" t="s">
        <v>218</v>
      </c>
      <c r="G59" s="61">
        <v>600</v>
      </c>
      <c r="H59" s="5"/>
      <c r="I59" s="5"/>
      <c r="J59" s="5"/>
      <c r="K59" s="5"/>
      <c r="L59" s="5"/>
      <c r="M59" s="5"/>
      <c r="N59" s="5"/>
      <c r="O59" s="5">
        <v>3093.99</v>
      </c>
      <c r="P59" s="5"/>
      <c r="Q59" s="5"/>
    </row>
    <row r="60" spans="1:17" ht="37.5" customHeight="1" thickBot="1">
      <c r="A60" s="147"/>
      <c r="B60" s="147"/>
      <c r="C60" s="146"/>
      <c r="D60" s="32">
        <v>974</v>
      </c>
      <c r="E60" s="27" t="s">
        <v>136</v>
      </c>
      <c r="F60" s="27" t="s">
        <v>232</v>
      </c>
      <c r="G60" s="61">
        <v>600</v>
      </c>
      <c r="H60" s="5"/>
      <c r="I60" s="5"/>
      <c r="J60" s="5"/>
      <c r="K60" s="5"/>
      <c r="L60" s="5"/>
      <c r="M60" s="5"/>
      <c r="N60" s="5"/>
      <c r="O60" s="5">
        <v>343.95</v>
      </c>
      <c r="P60" s="5"/>
      <c r="Q60" s="5"/>
    </row>
    <row r="61" spans="1:17" ht="37.5" customHeight="1" thickBot="1">
      <c r="A61" s="50" t="s">
        <v>185</v>
      </c>
      <c r="B61" s="133" t="s">
        <v>187</v>
      </c>
      <c r="C61" s="146"/>
      <c r="D61" s="32">
        <v>974</v>
      </c>
      <c r="E61" s="27" t="s">
        <v>136</v>
      </c>
      <c r="F61" s="27" t="s">
        <v>168</v>
      </c>
      <c r="G61" s="61" t="s">
        <v>181</v>
      </c>
      <c r="H61" s="5"/>
      <c r="I61" s="5"/>
      <c r="J61" s="5"/>
      <c r="K61" s="5"/>
      <c r="L61" s="5"/>
      <c r="M61" s="5"/>
      <c r="N61" s="5">
        <f>0.3+1259.9-608.2</f>
        <v>652</v>
      </c>
      <c r="O61" s="5"/>
      <c r="P61" s="5"/>
      <c r="Q61" s="5"/>
    </row>
    <row r="62" spans="1:17" ht="37.5" customHeight="1" thickBot="1">
      <c r="A62" s="30"/>
      <c r="B62" s="135"/>
      <c r="C62" s="146"/>
      <c r="D62" s="32">
        <v>974</v>
      </c>
      <c r="E62" s="27" t="s">
        <v>136</v>
      </c>
      <c r="F62" s="27" t="s">
        <v>168</v>
      </c>
      <c r="G62" s="61" t="s">
        <v>193</v>
      </c>
      <c r="H62" s="5"/>
      <c r="I62" s="5"/>
      <c r="J62" s="5"/>
      <c r="K62" s="5"/>
      <c r="L62" s="5"/>
      <c r="M62" s="5"/>
      <c r="N62" s="5">
        <f>608.2</f>
        <v>608.20000000000005</v>
      </c>
      <c r="O62" s="5"/>
      <c r="P62" s="5"/>
      <c r="Q62" s="5"/>
    </row>
    <row r="63" spans="1:17" ht="42" customHeight="1" thickBot="1">
      <c r="A63" s="51"/>
      <c r="B63" s="134"/>
      <c r="C63" s="147"/>
      <c r="D63" s="125" t="s">
        <v>17</v>
      </c>
      <c r="E63" s="126"/>
      <c r="F63" s="126"/>
      <c r="G63" s="127"/>
      <c r="H63" s="5">
        <f>H56</f>
        <v>0</v>
      </c>
      <c r="I63" s="5">
        <f t="shared" ref="I63:J63" si="17">I56</f>
        <v>0</v>
      </c>
      <c r="J63" s="5">
        <f t="shared" si="17"/>
        <v>0</v>
      </c>
      <c r="K63" s="5">
        <f>SUM(K56:K61)</f>
        <v>0</v>
      </c>
      <c r="L63" s="5">
        <f t="shared" ref="L63:Q63" si="18">SUM(L56:L61)</f>
        <v>3510.5</v>
      </c>
      <c r="M63" s="5">
        <f t="shared" si="18"/>
        <v>0</v>
      </c>
      <c r="N63" s="5">
        <f>SUM(N56:N62)</f>
        <v>5356.1799999999994</v>
      </c>
      <c r="O63" s="5">
        <f>SUM(O56:O62)</f>
        <v>3687.7099999999996</v>
      </c>
      <c r="P63" s="5">
        <f t="shared" si="18"/>
        <v>0</v>
      </c>
      <c r="Q63" s="5">
        <f t="shared" si="18"/>
        <v>0</v>
      </c>
    </row>
    <row r="64" spans="1:17" ht="37.5" customHeight="1" thickBot="1">
      <c r="A64" s="145" t="s">
        <v>34</v>
      </c>
      <c r="B64" s="145" t="s">
        <v>37</v>
      </c>
      <c r="C64" s="133" t="s">
        <v>16</v>
      </c>
      <c r="D64" s="32">
        <v>974</v>
      </c>
      <c r="E64" s="18" t="s">
        <v>139</v>
      </c>
      <c r="F64" s="18" t="s">
        <v>153</v>
      </c>
      <c r="G64" s="34">
        <v>600</v>
      </c>
      <c r="H64" s="5"/>
      <c r="I64" s="5"/>
      <c r="J64" s="5"/>
      <c r="K64" s="5"/>
      <c r="L64" s="5"/>
      <c r="M64" s="5">
        <v>1955.5</v>
      </c>
      <c r="N64" s="5">
        <v>5915.6</v>
      </c>
      <c r="O64" s="5">
        <v>6246.8</v>
      </c>
      <c r="P64" s="5">
        <v>6626.2</v>
      </c>
      <c r="Q64" s="5">
        <v>6938.6</v>
      </c>
    </row>
    <row r="65" spans="1:17" ht="37.5" customHeight="1" thickBot="1">
      <c r="A65" s="146"/>
      <c r="B65" s="146"/>
      <c r="C65" s="135"/>
      <c r="D65" s="32">
        <v>974</v>
      </c>
      <c r="E65" s="18" t="s">
        <v>139</v>
      </c>
      <c r="F65" s="18" t="s">
        <v>153</v>
      </c>
      <c r="G65" s="34">
        <v>800</v>
      </c>
      <c r="H65" s="5"/>
      <c r="I65" s="5"/>
      <c r="J65" s="5"/>
      <c r="K65" s="5"/>
      <c r="L65" s="5"/>
      <c r="M65" s="5">
        <v>0</v>
      </c>
      <c r="N65" s="5">
        <v>0</v>
      </c>
      <c r="O65" s="5">
        <v>7.6</v>
      </c>
      <c r="P65" s="5">
        <v>7.8</v>
      </c>
      <c r="Q65" s="5">
        <v>8.3000000000000007</v>
      </c>
    </row>
    <row r="66" spans="1:17" ht="37.5" customHeight="1" thickBot="1">
      <c r="A66" s="147"/>
      <c r="B66" s="147"/>
      <c r="C66" s="134"/>
      <c r="D66" s="125" t="s">
        <v>17</v>
      </c>
      <c r="E66" s="126"/>
      <c r="F66" s="126"/>
      <c r="G66" s="127"/>
      <c r="H66" s="5">
        <f>SUM(H64:H65)</f>
        <v>0</v>
      </c>
      <c r="I66" s="5">
        <f t="shared" ref="I66:Q66" si="19">SUM(I64:I65)</f>
        <v>0</v>
      </c>
      <c r="J66" s="5">
        <f t="shared" si="19"/>
        <v>0</v>
      </c>
      <c r="K66" s="5">
        <f t="shared" si="19"/>
        <v>0</v>
      </c>
      <c r="L66" s="5">
        <f t="shared" si="19"/>
        <v>0</v>
      </c>
      <c r="M66" s="5">
        <f t="shared" si="19"/>
        <v>1955.5</v>
      </c>
      <c r="N66" s="5">
        <f t="shared" si="19"/>
        <v>5915.6</v>
      </c>
      <c r="O66" s="5">
        <f t="shared" si="19"/>
        <v>6254.4000000000005</v>
      </c>
      <c r="P66" s="5">
        <f t="shared" si="19"/>
        <v>6634</v>
      </c>
      <c r="Q66" s="5">
        <f t="shared" si="19"/>
        <v>6946.9000000000005</v>
      </c>
    </row>
    <row r="67" spans="1:17" ht="37.5" customHeight="1" thickBot="1">
      <c r="A67" s="60" t="s">
        <v>14</v>
      </c>
      <c r="B67" s="60" t="s">
        <v>169</v>
      </c>
      <c r="C67" s="161" t="s">
        <v>49</v>
      </c>
      <c r="D67" s="111"/>
      <c r="E67" s="111"/>
      <c r="F67" s="111"/>
      <c r="G67" s="111"/>
      <c r="H67" s="49"/>
      <c r="I67" s="49"/>
      <c r="J67" s="49"/>
      <c r="K67" s="49"/>
      <c r="L67" s="49"/>
      <c r="M67" s="49"/>
      <c r="N67" s="49"/>
      <c r="O67" s="49"/>
      <c r="P67" s="49"/>
      <c r="Q67" s="10"/>
    </row>
    <row r="68" spans="1:17" ht="112.5" customHeight="1" thickBot="1">
      <c r="A68" s="51" t="s">
        <v>185</v>
      </c>
      <c r="B68" s="51" t="s">
        <v>188</v>
      </c>
      <c r="C68" s="162"/>
      <c r="D68" s="112">
        <v>974</v>
      </c>
      <c r="E68" s="110" t="s">
        <v>136</v>
      </c>
      <c r="F68" s="110" t="s">
        <v>170</v>
      </c>
      <c r="G68" s="34" t="s">
        <v>181</v>
      </c>
      <c r="H68" s="5">
        <f>H67</f>
        <v>0</v>
      </c>
      <c r="I68" s="5">
        <f t="shared" ref="I68:Q70" si="20">I67</f>
        <v>0</v>
      </c>
      <c r="J68" s="5">
        <f t="shared" si="20"/>
        <v>0</v>
      </c>
      <c r="K68" s="5">
        <f t="shared" si="20"/>
        <v>0</v>
      </c>
      <c r="L68" s="5">
        <f t="shared" si="20"/>
        <v>0</v>
      </c>
      <c r="M68" s="5">
        <f t="shared" si="20"/>
        <v>0</v>
      </c>
      <c r="N68" s="5">
        <v>1569</v>
      </c>
      <c r="O68" s="5">
        <f t="shared" si="20"/>
        <v>0</v>
      </c>
      <c r="P68" s="5">
        <f t="shared" si="20"/>
        <v>0</v>
      </c>
      <c r="Q68" s="5">
        <f t="shared" si="20"/>
        <v>0</v>
      </c>
    </row>
    <row r="69" spans="1:17" ht="46.5" customHeight="1" thickBot="1">
      <c r="A69" s="123" t="s">
        <v>185</v>
      </c>
      <c r="B69" s="123" t="s">
        <v>230</v>
      </c>
      <c r="C69" s="162"/>
      <c r="D69" s="112" t="s">
        <v>202</v>
      </c>
      <c r="E69" s="110" t="s">
        <v>136</v>
      </c>
      <c r="F69" s="110" t="s">
        <v>231</v>
      </c>
      <c r="G69" s="34" t="s">
        <v>181</v>
      </c>
      <c r="H69" s="5">
        <f>H68</f>
        <v>0</v>
      </c>
      <c r="I69" s="5">
        <f t="shared" si="20"/>
        <v>0</v>
      </c>
      <c r="J69" s="5">
        <f t="shared" si="20"/>
        <v>0</v>
      </c>
      <c r="K69" s="5">
        <f t="shared" si="20"/>
        <v>0</v>
      </c>
      <c r="L69" s="5">
        <f t="shared" si="20"/>
        <v>0</v>
      </c>
      <c r="M69" s="5">
        <f t="shared" si="20"/>
        <v>0</v>
      </c>
      <c r="N69" s="5">
        <v>0</v>
      </c>
      <c r="O69" s="5">
        <v>2195.5700000000002</v>
      </c>
      <c r="P69" s="5">
        <f t="shared" si="20"/>
        <v>0</v>
      </c>
      <c r="Q69" s="5">
        <f t="shared" si="20"/>
        <v>0</v>
      </c>
    </row>
    <row r="70" spans="1:17" ht="90.75" customHeight="1" thickBot="1">
      <c r="A70" s="124"/>
      <c r="B70" s="124"/>
      <c r="C70" s="163"/>
      <c r="D70" s="125" t="s">
        <v>17</v>
      </c>
      <c r="E70" s="126"/>
      <c r="F70" s="126"/>
      <c r="G70" s="127"/>
      <c r="H70" s="5">
        <f>H69</f>
        <v>0</v>
      </c>
      <c r="I70" s="5">
        <f t="shared" si="20"/>
        <v>0</v>
      </c>
      <c r="J70" s="5">
        <f t="shared" si="20"/>
        <v>0</v>
      </c>
      <c r="K70" s="5">
        <f t="shared" si="20"/>
        <v>0</v>
      </c>
      <c r="L70" s="5">
        <f t="shared" si="20"/>
        <v>0</v>
      </c>
      <c r="M70" s="5">
        <f t="shared" si="20"/>
        <v>0</v>
      </c>
      <c r="N70" s="5">
        <f>N68</f>
        <v>1569</v>
      </c>
      <c r="O70" s="5">
        <f t="shared" si="20"/>
        <v>2195.5700000000002</v>
      </c>
      <c r="P70" s="5">
        <f t="shared" si="20"/>
        <v>0</v>
      </c>
      <c r="Q70" s="5">
        <f t="shared" si="20"/>
        <v>0</v>
      </c>
    </row>
    <row r="71" spans="1:17" ht="37.5" customHeight="1" thickBot="1">
      <c r="A71" s="69" t="s">
        <v>14</v>
      </c>
      <c r="B71" s="69" t="s">
        <v>171</v>
      </c>
      <c r="C71" s="154" t="s">
        <v>49</v>
      </c>
      <c r="D71" s="48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10"/>
    </row>
    <row r="72" spans="1:17" ht="37.5" customHeight="1" thickBot="1">
      <c r="A72" s="148" t="s">
        <v>185</v>
      </c>
      <c r="B72" s="148" t="s">
        <v>186</v>
      </c>
      <c r="C72" s="155"/>
      <c r="D72" s="31">
        <v>974</v>
      </c>
      <c r="E72" s="18" t="s">
        <v>136</v>
      </c>
      <c r="F72" s="18" t="s">
        <v>172</v>
      </c>
      <c r="G72" s="34" t="s">
        <v>181</v>
      </c>
      <c r="H72" s="10"/>
      <c r="I72" s="10"/>
      <c r="J72" s="10"/>
      <c r="K72" s="10"/>
      <c r="L72" s="10"/>
      <c r="M72" s="10"/>
      <c r="N72" s="10">
        <f>0.6+2913.6-57.1</f>
        <v>2857.1</v>
      </c>
      <c r="O72" s="10"/>
      <c r="P72" s="10"/>
      <c r="Q72" s="10"/>
    </row>
    <row r="73" spans="1:17" ht="37.5" customHeight="1" thickBot="1">
      <c r="A73" s="149"/>
      <c r="B73" s="149"/>
      <c r="C73" s="155"/>
      <c r="D73" s="112" t="s">
        <v>202</v>
      </c>
      <c r="E73" s="110" t="s">
        <v>136</v>
      </c>
      <c r="F73" s="110" t="s">
        <v>233</v>
      </c>
      <c r="G73" s="34" t="s">
        <v>181</v>
      </c>
      <c r="H73" s="10"/>
      <c r="I73" s="10"/>
      <c r="J73" s="10"/>
      <c r="K73" s="10"/>
      <c r="L73" s="10"/>
      <c r="M73" s="10"/>
      <c r="N73" s="10"/>
      <c r="O73" s="10">
        <v>9592.56</v>
      </c>
      <c r="P73" s="10"/>
      <c r="Q73" s="10"/>
    </row>
    <row r="74" spans="1:17" ht="37.5" customHeight="1" thickBot="1">
      <c r="A74" s="150"/>
      <c r="B74" s="150"/>
      <c r="C74" s="156"/>
      <c r="D74" s="125" t="s">
        <v>17</v>
      </c>
      <c r="E74" s="126"/>
      <c r="F74" s="126"/>
      <c r="G74" s="127"/>
      <c r="H74" s="10">
        <f>H72</f>
        <v>0</v>
      </c>
      <c r="I74" s="10">
        <f t="shared" ref="I74:Q74" si="21">I72</f>
        <v>0</v>
      </c>
      <c r="J74" s="10">
        <f t="shared" si="21"/>
        <v>0</v>
      </c>
      <c r="K74" s="10">
        <f t="shared" si="21"/>
        <v>0</v>
      </c>
      <c r="L74" s="10">
        <f t="shared" si="21"/>
        <v>0</v>
      </c>
      <c r="M74" s="10">
        <f t="shared" si="21"/>
        <v>0</v>
      </c>
      <c r="N74" s="10">
        <f t="shared" si="21"/>
        <v>2857.1</v>
      </c>
      <c r="O74" s="10">
        <f>O73</f>
        <v>9592.56</v>
      </c>
      <c r="P74" s="10">
        <f t="shared" si="21"/>
        <v>0</v>
      </c>
      <c r="Q74" s="10">
        <f t="shared" si="21"/>
        <v>0</v>
      </c>
    </row>
    <row r="75" spans="1:17" ht="90.75" customHeight="1" thickBot="1">
      <c r="A75" s="70" t="s">
        <v>14</v>
      </c>
      <c r="B75" s="70" t="s">
        <v>210</v>
      </c>
      <c r="C75" s="120" t="s">
        <v>49</v>
      </c>
      <c r="D75" s="59"/>
      <c r="E75" s="59"/>
      <c r="F75" s="59"/>
      <c r="G75" s="59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ht="60.75" thickBot="1">
      <c r="A76" s="100" t="s">
        <v>206</v>
      </c>
      <c r="B76" s="100" t="s">
        <v>208</v>
      </c>
      <c r="C76" s="121"/>
      <c r="D76" s="96" t="s">
        <v>202</v>
      </c>
      <c r="E76" s="34" t="s">
        <v>136</v>
      </c>
      <c r="F76" s="34" t="s">
        <v>217</v>
      </c>
      <c r="G76" s="34" t="s">
        <v>193</v>
      </c>
      <c r="H76" s="10"/>
      <c r="I76" s="10"/>
      <c r="J76" s="10"/>
      <c r="K76" s="10"/>
      <c r="L76" s="10"/>
      <c r="M76" s="10"/>
      <c r="N76" s="10"/>
      <c r="O76" s="10">
        <v>94041.600000000006</v>
      </c>
      <c r="P76" s="10"/>
      <c r="Q76" s="6"/>
    </row>
    <row r="77" spans="1:17" ht="68.25" customHeight="1" thickBot="1">
      <c r="A77" s="115" t="s">
        <v>207</v>
      </c>
      <c r="B77" s="115" t="s">
        <v>209</v>
      </c>
      <c r="C77" s="121"/>
      <c r="D77" s="96" t="s">
        <v>202</v>
      </c>
      <c r="E77" s="34" t="s">
        <v>136</v>
      </c>
      <c r="F77" s="34" t="s">
        <v>217</v>
      </c>
      <c r="G77" s="34" t="s">
        <v>193</v>
      </c>
      <c r="H77" s="5"/>
      <c r="I77" s="5"/>
      <c r="J77" s="5"/>
      <c r="K77" s="5"/>
      <c r="L77" s="5"/>
      <c r="M77" s="5"/>
      <c r="N77" s="5"/>
      <c r="O77" s="5">
        <v>8419.7999999999993</v>
      </c>
      <c r="P77" s="5"/>
      <c r="Q77" s="5"/>
    </row>
    <row r="78" spans="1:17" ht="60.75" customHeight="1" thickBot="1">
      <c r="A78" s="118" t="s">
        <v>226</v>
      </c>
      <c r="B78" s="118" t="s">
        <v>227</v>
      </c>
      <c r="C78" s="121"/>
      <c r="D78" s="112" t="s">
        <v>202</v>
      </c>
      <c r="E78" s="34" t="s">
        <v>136</v>
      </c>
      <c r="F78" s="34" t="s">
        <v>228</v>
      </c>
      <c r="G78" s="34" t="s">
        <v>193</v>
      </c>
      <c r="H78" s="63"/>
      <c r="I78" s="5"/>
      <c r="J78" s="5"/>
      <c r="K78" s="5"/>
      <c r="L78" s="5"/>
      <c r="M78" s="5"/>
      <c r="N78" s="5"/>
      <c r="O78" s="5">
        <v>66.55</v>
      </c>
      <c r="P78" s="5"/>
      <c r="Q78" s="5"/>
    </row>
    <row r="79" spans="1:17" ht="45.75" customHeight="1" thickBot="1">
      <c r="A79" s="119"/>
      <c r="B79" s="119"/>
      <c r="C79" s="122"/>
      <c r="D79" s="125" t="s">
        <v>17</v>
      </c>
      <c r="E79" s="126"/>
      <c r="F79" s="126"/>
      <c r="G79" s="127"/>
      <c r="H79" s="63"/>
      <c r="I79" s="5"/>
      <c r="J79" s="5"/>
      <c r="K79" s="5"/>
      <c r="L79" s="5"/>
      <c r="M79" s="5"/>
      <c r="N79" s="5"/>
      <c r="O79" s="5">
        <f>O76+O77+O78</f>
        <v>102527.95000000001</v>
      </c>
      <c r="P79" s="5"/>
      <c r="Q79" s="5"/>
    </row>
    <row r="80" spans="1:17" ht="108" customHeight="1" thickBot="1">
      <c r="A80" s="21" t="s">
        <v>12</v>
      </c>
      <c r="B80" s="21" t="s">
        <v>38</v>
      </c>
      <c r="C80" s="22" t="s">
        <v>51</v>
      </c>
      <c r="D80" s="33" t="s">
        <v>11</v>
      </c>
      <c r="E80" s="23" t="s">
        <v>11</v>
      </c>
      <c r="F80" s="23" t="s">
        <v>11</v>
      </c>
      <c r="G80" s="23" t="s">
        <v>28</v>
      </c>
      <c r="H80" s="6">
        <f>H82+H87</f>
        <v>4844.7</v>
      </c>
      <c r="I80" s="6">
        <f t="shared" ref="I80:P80" si="22">I82+I87</f>
        <v>8004.3</v>
      </c>
      <c r="J80" s="6">
        <f t="shared" si="22"/>
        <v>5748.1</v>
      </c>
      <c r="K80" s="6">
        <f t="shared" si="22"/>
        <v>5</v>
      </c>
      <c r="L80" s="6">
        <f t="shared" si="22"/>
        <v>5</v>
      </c>
      <c r="M80" s="6">
        <f t="shared" si="22"/>
        <v>0</v>
      </c>
      <c r="N80" s="6">
        <f t="shared" si="22"/>
        <v>0</v>
      </c>
      <c r="O80" s="6">
        <f t="shared" si="22"/>
        <v>0</v>
      </c>
      <c r="P80" s="6">
        <f t="shared" si="22"/>
        <v>0</v>
      </c>
      <c r="Q80" s="6">
        <v>0</v>
      </c>
    </row>
    <row r="81" spans="1:17" ht="37.5" customHeight="1" thickBot="1">
      <c r="A81" s="128" t="s">
        <v>14</v>
      </c>
      <c r="B81" s="128" t="s">
        <v>39</v>
      </c>
      <c r="C81" s="151" t="s">
        <v>16</v>
      </c>
      <c r="D81" s="34">
        <v>974</v>
      </c>
      <c r="E81" s="18" t="s">
        <v>151</v>
      </c>
      <c r="F81" s="18" t="s">
        <v>152</v>
      </c>
      <c r="G81" s="18">
        <v>200</v>
      </c>
      <c r="H81" s="5">
        <v>10</v>
      </c>
      <c r="I81" s="5">
        <v>5</v>
      </c>
      <c r="J81" s="5">
        <v>5</v>
      </c>
      <c r="K81" s="5">
        <v>5</v>
      </c>
      <c r="L81" s="5">
        <v>5</v>
      </c>
      <c r="M81" s="5">
        <v>0</v>
      </c>
      <c r="N81" s="5">
        <v>0</v>
      </c>
      <c r="O81" s="5">
        <v>0</v>
      </c>
      <c r="P81" s="5">
        <v>0</v>
      </c>
      <c r="Q81" s="5">
        <v>5</v>
      </c>
    </row>
    <row r="82" spans="1:17" ht="37.5" customHeight="1" thickBot="1">
      <c r="A82" s="130"/>
      <c r="B82" s="130"/>
      <c r="C82" s="164"/>
      <c r="D82" s="125" t="s">
        <v>17</v>
      </c>
      <c r="E82" s="126"/>
      <c r="F82" s="126"/>
      <c r="G82" s="127"/>
      <c r="H82" s="5">
        <f>H81</f>
        <v>10</v>
      </c>
      <c r="I82" s="5">
        <f t="shared" ref="I82:Q82" si="23">I81</f>
        <v>5</v>
      </c>
      <c r="J82" s="5">
        <f t="shared" si="23"/>
        <v>5</v>
      </c>
      <c r="K82" s="5">
        <f t="shared" si="23"/>
        <v>5</v>
      </c>
      <c r="L82" s="5">
        <f t="shared" si="23"/>
        <v>5</v>
      </c>
      <c r="M82" s="5">
        <f t="shared" si="23"/>
        <v>0</v>
      </c>
      <c r="N82" s="5">
        <f t="shared" si="23"/>
        <v>0</v>
      </c>
      <c r="O82" s="5">
        <f t="shared" si="23"/>
        <v>0</v>
      </c>
      <c r="P82" s="5">
        <f t="shared" si="23"/>
        <v>0</v>
      </c>
      <c r="Q82" s="5">
        <f t="shared" si="23"/>
        <v>5</v>
      </c>
    </row>
    <row r="83" spans="1:17" ht="37.5" customHeight="1" thickBot="1">
      <c r="A83" s="128" t="s">
        <v>14</v>
      </c>
      <c r="B83" s="128" t="s">
        <v>40</v>
      </c>
      <c r="C83" s="128" t="s">
        <v>16</v>
      </c>
      <c r="D83" s="32">
        <v>974</v>
      </c>
      <c r="E83" s="18">
        <v>1003</v>
      </c>
      <c r="F83" s="18" t="s">
        <v>149</v>
      </c>
      <c r="G83" s="18">
        <v>300</v>
      </c>
      <c r="H83" s="5">
        <v>2023.5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</row>
    <row r="84" spans="1:17" ht="37.5" customHeight="1" thickBot="1">
      <c r="A84" s="129"/>
      <c r="B84" s="129"/>
      <c r="C84" s="129"/>
      <c r="D84" s="32">
        <v>974</v>
      </c>
      <c r="E84" s="18">
        <v>1003</v>
      </c>
      <c r="F84" s="18" t="s">
        <v>41</v>
      </c>
      <c r="G84" s="18">
        <v>300</v>
      </c>
      <c r="H84" s="5">
        <v>2694</v>
      </c>
      <c r="I84" s="5">
        <v>7999.3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</row>
    <row r="85" spans="1:17" ht="37.5" customHeight="1" thickBot="1">
      <c r="A85" s="129"/>
      <c r="B85" s="129"/>
      <c r="C85" s="129"/>
      <c r="D85" s="32">
        <v>974</v>
      </c>
      <c r="E85" s="18">
        <v>1003</v>
      </c>
      <c r="F85" s="18" t="s">
        <v>148</v>
      </c>
      <c r="G85" s="18">
        <v>300</v>
      </c>
      <c r="H85" s="5">
        <v>117.2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</row>
    <row r="86" spans="1:17" ht="37.5" customHeight="1" thickBot="1">
      <c r="A86" s="129"/>
      <c r="B86" s="129"/>
      <c r="C86" s="129"/>
      <c r="D86" s="32">
        <v>974</v>
      </c>
      <c r="E86" s="18">
        <v>1003</v>
      </c>
      <c r="F86" s="18" t="s">
        <v>42</v>
      </c>
      <c r="G86" s="18">
        <v>300</v>
      </c>
      <c r="H86" s="5"/>
      <c r="I86" s="5"/>
      <c r="J86" s="5">
        <v>5743.1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1:17" ht="37.5" customHeight="1" thickBot="1">
      <c r="A87" s="129"/>
      <c r="B87" s="129"/>
      <c r="C87" s="129"/>
      <c r="D87" s="139" t="s">
        <v>17</v>
      </c>
      <c r="E87" s="140"/>
      <c r="F87" s="140"/>
      <c r="G87" s="141"/>
      <c r="H87" s="12">
        <f>SUM(H83:H86)</f>
        <v>4834.7</v>
      </c>
      <c r="I87" s="12">
        <f t="shared" ref="I87:Q87" si="24">SUM(I83:I86)</f>
        <v>7999.3</v>
      </c>
      <c r="J87" s="12">
        <f t="shared" si="24"/>
        <v>5743.1</v>
      </c>
      <c r="K87" s="12">
        <f t="shared" si="24"/>
        <v>0</v>
      </c>
      <c r="L87" s="12">
        <f t="shared" si="24"/>
        <v>0</v>
      </c>
      <c r="M87" s="12">
        <f t="shared" si="24"/>
        <v>0</v>
      </c>
      <c r="N87" s="108">
        <f t="shared" ref="N87:P87" si="25">SUM(N83:N86)</f>
        <v>0</v>
      </c>
      <c r="O87" s="113">
        <f t="shared" si="25"/>
        <v>0</v>
      </c>
      <c r="P87" s="97">
        <f t="shared" si="25"/>
        <v>0</v>
      </c>
      <c r="Q87" s="97">
        <f t="shared" si="24"/>
        <v>0</v>
      </c>
    </row>
    <row r="88" spans="1:17" ht="81.75" customHeight="1" thickBot="1">
      <c r="A88" s="35" t="s">
        <v>12</v>
      </c>
      <c r="B88" s="36" t="s">
        <v>52</v>
      </c>
      <c r="C88" s="35" t="s">
        <v>16</v>
      </c>
      <c r="D88" s="33" t="s">
        <v>11</v>
      </c>
      <c r="E88" s="23" t="s">
        <v>11</v>
      </c>
      <c r="F88" s="23" t="s">
        <v>11</v>
      </c>
      <c r="G88" s="23" t="s">
        <v>28</v>
      </c>
      <c r="H88" s="6">
        <f>H97+H100</f>
        <v>11707.900000000001</v>
      </c>
      <c r="I88" s="6">
        <f t="shared" ref="I88:Q88" si="26">I97+I100</f>
        <v>12514.6</v>
      </c>
      <c r="J88" s="6">
        <f t="shared" si="26"/>
        <v>14698.9</v>
      </c>
      <c r="K88" s="6">
        <f t="shared" si="26"/>
        <v>11627.3</v>
      </c>
      <c r="L88" s="6">
        <f t="shared" si="26"/>
        <v>12648.499999999998</v>
      </c>
      <c r="M88" s="6">
        <f t="shared" si="26"/>
        <v>12806.2</v>
      </c>
      <c r="N88" s="6">
        <f>N97+N100</f>
        <v>14320.099999999999</v>
      </c>
      <c r="O88" s="6">
        <f t="shared" si="26"/>
        <v>18204.64</v>
      </c>
      <c r="P88" s="6">
        <f t="shared" si="26"/>
        <v>16100.200000000003</v>
      </c>
      <c r="Q88" s="6">
        <f t="shared" si="26"/>
        <v>17097.399999999998</v>
      </c>
    </row>
    <row r="89" spans="1:17" ht="37.5" customHeight="1" thickBot="1">
      <c r="A89" s="128" t="s">
        <v>14</v>
      </c>
      <c r="B89" s="128" t="s">
        <v>173</v>
      </c>
      <c r="C89" s="128" t="s">
        <v>16</v>
      </c>
      <c r="D89" s="34">
        <v>974</v>
      </c>
      <c r="E89" s="18" t="s">
        <v>144</v>
      </c>
      <c r="F89" s="18" t="s">
        <v>145</v>
      </c>
      <c r="G89" s="18">
        <v>100</v>
      </c>
      <c r="H89" s="5">
        <v>9427.6</v>
      </c>
      <c r="I89" s="5">
        <v>10116.700000000001</v>
      </c>
      <c r="J89" s="5">
        <v>12411.4</v>
      </c>
      <c r="K89" s="5">
        <v>8532</v>
      </c>
      <c r="L89" s="5">
        <v>8971.9</v>
      </c>
      <c r="M89" s="5">
        <v>9883.2999999999993</v>
      </c>
      <c r="N89" s="5">
        <v>10779.8</v>
      </c>
      <c r="O89" s="5">
        <f>8935.7+2725.7</f>
        <v>11661.400000000001</v>
      </c>
      <c r="P89" s="5">
        <f>8935.7+2725.7</f>
        <v>11661.400000000001</v>
      </c>
      <c r="Q89" s="5">
        <f>8935.7+2725.8</f>
        <v>11661.5</v>
      </c>
    </row>
    <row r="90" spans="1:17" ht="37.5" customHeight="1" thickBot="1">
      <c r="A90" s="129"/>
      <c r="B90" s="129"/>
      <c r="C90" s="129"/>
      <c r="D90" s="32">
        <v>974</v>
      </c>
      <c r="E90" s="18" t="s">
        <v>144</v>
      </c>
      <c r="F90" s="18" t="s">
        <v>145</v>
      </c>
      <c r="G90" s="18">
        <v>200</v>
      </c>
      <c r="H90" s="5">
        <v>976.1</v>
      </c>
      <c r="I90" s="5">
        <v>995</v>
      </c>
      <c r="J90" s="5">
        <v>972.3</v>
      </c>
      <c r="K90" s="5">
        <v>1483.5</v>
      </c>
      <c r="L90" s="5">
        <v>2112.6999999999998</v>
      </c>
      <c r="M90" s="5">
        <v>1421.5</v>
      </c>
      <c r="N90" s="5">
        <v>1598.5</v>
      </c>
      <c r="O90" s="5">
        <v>1394.6</v>
      </c>
      <c r="P90" s="5">
        <v>1287.5999999999999</v>
      </c>
      <c r="Q90" s="5">
        <v>1287.5999999999999</v>
      </c>
    </row>
    <row r="91" spans="1:17" ht="37.5" customHeight="1" thickBot="1">
      <c r="A91" s="129"/>
      <c r="B91" s="129"/>
      <c r="C91" s="129"/>
      <c r="D91" s="32">
        <v>974</v>
      </c>
      <c r="E91" s="18" t="s">
        <v>144</v>
      </c>
      <c r="F91" s="18" t="s">
        <v>145</v>
      </c>
      <c r="G91" s="18">
        <v>800</v>
      </c>
      <c r="H91" s="5">
        <v>19.5</v>
      </c>
      <c r="I91" s="5">
        <v>16</v>
      </c>
      <c r="J91" s="5">
        <v>14.2</v>
      </c>
      <c r="K91" s="5">
        <v>22.9</v>
      </c>
      <c r="L91" s="5">
        <v>15.3</v>
      </c>
      <c r="M91" s="5">
        <v>11.7</v>
      </c>
      <c r="N91" s="5">
        <v>12.3</v>
      </c>
      <c r="O91" s="5">
        <f>4251.3-316.32-176.44</f>
        <v>3758.54</v>
      </c>
      <c r="P91" s="5">
        <v>2093.1</v>
      </c>
      <c r="Q91" s="5">
        <v>3090.2</v>
      </c>
    </row>
    <row r="92" spans="1:17" ht="37.5" customHeight="1" thickBot="1">
      <c r="A92" s="129"/>
      <c r="B92" s="129"/>
      <c r="C92" s="129"/>
      <c r="D92" s="32">
        <v>974</v>
      </c>
      <c r="E92" s="18" t="s">
        <v>142</v>
      </c>
      <c r="F92" s="18" t="s">
        <v>146</v>
      </c>
      <c r="G92" s="18">
        <v>100</v>
      </c>
      <c r="H92" s="5">
        <v>1010.7</v>
      </c>
      <c r="I92" s="5">
        <v>1112.9000000000001</v>
      </c>
      <c r="J92" s="5">
        <v>1027</v>
      </c>
      <c r="K92" s="5">
        <v>1261.3</v>
      </c>
      <c r="L92" s="5">
        <v>1158.0999999999999</v>
      </c>
      <c r="M92" s="5">
        <v>1121.7</v>
      </c>
      <c r="N92" s="5">
        <v>1420.5</v>
      </c>
      <c r="O92" s="5">
        <v>1058.0999999999999</v>
      </c>
      <c r="P92" s="5">
        <v>1058.0999999999999</v>
      </c>
      <c r="Q92" s="5">
        <v>1058.0999999999999</v>
      </c>
    </row>
    <row r="93" spans="1:17" ht="37.5" customHeight="1" thickBot="1">
      <c r="A93" s="129"/>
      <c r="B93" s="129"/>
      <c r="C93" s="129"/>
      <c r="D93" s="32" t="s">
        <v>202</v>
      </c>
      <c r="E93" s="57" t="s">
        <v>142</v>
      </c>
      <c r="F93" s="57" t="s">
        <v>203</v>
      </c>
      <c r="G93" s="57" t="s">
        <v>204</v>
      </c>
      <c r="H93" s="5"/>
      <c r="I93" s="5"/>
      <c r="J93" s="5"/>
      <c r="K93" s="5"/>
      <c r="L93" s="5"/>
      <c r="M93" s="5"/>
      <c r="N93" s="5">
        <v>23</v>
      </c>
      <c r="O93" s="5"/>
      <c r="P93" s="5"/>
      <c r="Q93" s="5"/>
    </row>
    <row r="94" spans="1:17" ht="37.5" customHeight="1" thickBot="1">
      <c r="A94" s="129"/>
      <c r="B94" s="129"/>
      <c r="C94" s="129"/>
      <c r="D94" s="32">
        <v>974</v>
      </c>
      <c r="E94" s="18" t="s">
        <v>142</v>
      </c>
      <c r="F94" s="18" t="s">
        <v>150</v>
      </c>
      <c r="G94" s="18">
        <v>100</v>
      </c>
      <c r="H94" s="5"/>
      <c r="I94" s="5"/>
      <c r="J94" s="5"/>
      <c r="K94" s="5"/>
      <c r="L94" s="5"/>
      <c r="M94" s="5">
        <v>15</v>
      </c>
      <c r="N94" s="5"/>
      <c r="O94" s="5"/>
      <c r="P94" s="5"/>
      <c r="Q94" s="5"/>
    </row>
    <row r="95" spans="1:17" ht="37.5" customHeight="1" thickBot="1">
      <c r="A95" s="129"/>
      <c r="B95" s="129"/>
      <c r="C95" s="129"/>
      <c r="D95" s="32">
        <v>974</v>
      </c>
      <c r="E95" s="18" t="s">
        <v>142</v>
      </c>
      <c r="F95" s="18" t="s">
        <v>147</v>
      </c>
      <c r="G95" s="18">
        <v>100</v>
      </c>
      <c r="H95" s="5"/>
      <c r="I95" s="5"/>
      <c r="J95" s="5"/>
      <c r="K95" s="5">
        <v>26.2</v>
      </c>
      <c r="L95" s="5"/>
      <c r="M95" s="5"/>
      <c r="N95" s="5"/>
      <c r="O95" s="5"/>
      <c r="P95" s="5"/>
      <c r="Q95" s="5"/>
    </row>
    <row r="96" spans="1:17" ht="37.5" customHeight="1" thickBot="1">
      <c r="A96" s="129"/>
      <c r="B96" s="129"/>
      <c r="C96" s="129"/>
      <c r="D96" s="32">
        <v>974</v>
      </c>
      <c r="E96" s="18" t="s">
        <v>142</v>
      </c>
      <c r="F96" s="18" t="s">
        <v>43</v>
      </c>
      <c r="G96" s="18">
        <v>100</v>
      </c>
      <c r="H96" s="5"/>
      <c r="I96" s="5"/>
      <c r="J96" s="5"/>
      <c r="K96" s="5"/>
      <c r="L96" s="5">
        <v>12.5</v>
      </c>
      <c r="M96" s="5"/>
      <c r="N96" s="5"/>
      <c r="O96" s="5"/>
      <c r="P96" s="5"/>
      <c r="Q96" s="5"/>
    </row>
    <row r="97" spans="1:17" ht="37.5" customHeight="1" thickBot="1">
      <c r="A97" s="130"/>
      <c r="B97" s="130"/>
      <c r="C97" s="130"/>
      <c r="D97" s="125" t="s">
        <v>17</v>
      </c>
      <c r="E97" s="126"/>
      <c r="F97" s="126"/>
      <c r="G97" s="127"/>
      <c r="H97" s="5">
        <f>SUM(H89:H96)</f>
        <v>11433.900000000001</v>
      </c>
      <c r="I97" s="5">
        <f t="shared" ref="I97:Q97" si="27">SUM(I89:I96)</f>
        <v>12240.6</v>
      </c>
      <c r="J97" s="5">
        <f t="shared" si="27"/>
        <v>14424.9</v>
      </c>
      <c r="K97" s="5">
        <f t="shared" si="27"/>
        <v>11325.9</v>
      </c>
      <c r="L97" s="5">
        <f t="shared" si="27"/>
        <v>12270.499999999998</v>
      </c>
      <c r="M97" s="5">
        <f t="shared" si="27"/>
        <v>12453.2</v>
      </c>
      <c r="N97" s="5">
        <f>SUM(N89:N96)</f>
        <v>13834.099999999999</v>
      </c>
      <c r="O97" s="5">
        <f t="shared" ref="O97:P97" si="28">SUM(O89:O96)</f>
        <v>17872.64</v>
      </c>
      <c r="P97" s="5">
        <f t="shared" si="28"/>
        <v>16100.200000000003</v>
      </c>
      <c r="Q97" s="5">
        <f t="shared" si="27"/>
        <v>17097.399999999998</v>
      </c>
    </row>
    <row r="98" spans="1:17" ht="37.5" customHeight="1" thickBot="1">
      <c r="A98" s="128" t="s">
        <v>14</v>
      </c>
      <c r="B98" s="128" t="s">
        <v>44</v>
      </c>
      <c r="C98" s="128" t="s">
        <v>16</v>
      </c>
      <c r="D98" s="32">
        <v>974</v>
      </c>
      <c r="E98" s="18" t="s">
        <v>142</v>
      </c>
      <c r="F98" s="18" t="s">
        <v>143</v>
      </c>
      <c r="G98" s="18">
        <v>100</v>
      </c>
      <c r="H98" s="5">
        <v>254</v>
      </c>
      <c r="I98" s="5">
        <v>198.2</v>
      </c>
      <c r="J98" s="5">
        <v>238.3</v>
      </c>
      <c r="K98" s="5">
        <v>256.89999999999998</v>
      </c>
      <c r="L98" s="5">
        <v>282.8</v>
      </c>
      <c r="M98" s="5">
        <v>320.8</v>
      </c>
      <c r="N98" s="5">
        <v>311.60000000000002</v>
      </c>
      <c r="O98" s="5">
        <v>332</v>
      </c>
      <c r="P98" s="5">
        <v>0</v>
      </c>
      <c r="Q98" s="5">
        <v>0</v>
      </c>
    </row>
    <row r="99" spans="1:17" ht="37.5" customHeight="1" thickBot="1">
      <c r="A99" s="129"/>
      <c r="B99" s="129"/>
      <c r="C99" s="129"/>
      <c r="D99" s="32">
        <v>974</v>
      </c>
      <c r="E99" s="18" t="s">
        <v>142</v>
      </c>
      <c r="F99" s="18" t="s">
        <v>143</v>
      </c>
      <c r="G99" s="18">
        <v>200</v>
      </c>
      <c r="H99" s="5">
        <v>20</v>
      </c>
      <c r="I99" s="5">
        <v>75.8</v>
      </c>
      <c r="J99" s="5">
        <v>35.700000000000003</v>
      </c>
      <c r="K99" s="5">
        <v>44.5</v>
      </c>
      <c r="L99" s="5">
        <v>95.2</v>
      </c>
      <c r="M99" s="5">
        <v>32.200000000000003</v>
      </c>
      <c r="N99" s="5">
        <v>174.4</v>
      </c>
      <c r="O99" s="5">
        <v>0</v>
      </c>
      <c r="P99" s="5">
        <v>0</v>
      </c>
      <c r="Q99" s="5">
        <v>0</v>
      </c>
    </row>
    <row r="100" spans="1:17" ht="37.5" customHeight="1" thickBot="1">
      <c r="A100" s="130"/>
      <c r="B100" s="130"/>
      <c r="C100" s="130"/>
      <c r="D100" s="125" t="s">
        <v>17</v>
      </c>
      <c r="E100" s="126"/>
      <c r="F100" s="126"/>
      <c r="G100" s="127"/>
      <c r="H100" s="5">
        <f>SUM(H98:H99)</f>
        <v>274</v>
      </c>
      <c r="I100" s="5">
        <f t="shared" ref="I100:Q100" si="29">SUM(I98:I99)</f>
        <v>274</v>
      </c>
      <c r="J100" s="5">
        <f t="shared" si="29"/>
        <v>274</v>
      </c>
      <c r="K100" s="5">
        <f t="shared" si="29"/>
        <v>301.39999999999998</v>
      </c>
      <c r="L100" s="5">
        <f t="shared" si="29"/>
        <v>378</v>
      </c>
      <c r="M100" s="5">
        <f t="shared" si="29"/>
        <v>353</v>
      </c>
      <c r="N100" s="5">
        <f t="shared" ref="N100:P100" si="30">SUM(N98:N99)</f>
        <v>486</v>
      </c>
      <c r="O100" s="5">
        <f t="shared" si="30"/>
        <v>332</v>
      </c>
      <c r="P100" s="5">
        <f t="shared" si="30"/>
        <v>0</v>
      </c>
      <c r="Q100" s="5">
        <f t="shared" si="29"/>
        <v>0</v>
      </c>
    </row>
  </sheetData>
  <mergeCells count="99">
    <mergeCell ref="D100:G100"/>
    <mergeCell ref="A83:A87"/>
    <mergeCell ref="B83:B87"/>
    <mergeCell ref="A81:A82"/>
    <mergeCell ref="B81:B82"/>
    <mergeCell ref="A98:A100"/>
    <mergeCell ref="B98:B100"/>
    <mergeCell ref="C98:C100"/>
    <mergeCell ref="A89:A97"/>
    <mergeCell ref="B89:B97"/>
    <mergeCell ref="D97:G97"/>
    <mergeCell ref="D87:G87"/>
    <mergeCell ref="C83:C87"/>
    <mergeCell ref="C81:C82"/>
    <mergeCell ref="C89:C97"/>
    <mergeCell ref="B5:O5"/>
    <mergeCell ref="K3:Q3"/>
    <mergeCell ref="D79:G79"/>
    <mergeCell ref="D70:G70"/>
    <mergeCell ref="C27:C32"/>
    <mergeCell ref="C23:C26"/>
    <mergeCell ref="C45:C46"/>
    <mergeCell ref="C47:C48"/>
    <mergeCell ref="D82:G82"/>
    <mergeCell ref="D63:G63"/>
    <mergeCell ref="D38:G38"/>
    <mergeCell ref="D32:G32"/>
    <mergeCell ref="D74:G74"/>
    <mergeCell ref="N2:O2"/>
    <mergeCell ref="C71:C74"/>
    <mergeCell ref="D55:G55"/>
    <mergeCell ref="D66:G66"/>
    <mergeCell ref="D48:G48"/>
    <mergeCell ref="K45:K46"/>
    <mergeCell ref="L45:L46"/>
    <mergeCell ref="J45:J46"/>
    <mergeCell ref="H7:Q7"/>
    <mergeCell ref="D19:G19"/>
    <mergeCell ref="C17:C19"/>
    <mergeCell ref="C20:C22"/>
    <mergeCell ref="C67:C70"/>
    <mergeCell ref="C49:C55"/>
    <mergeCell ref="B61:B63"/>
    <mergeCell ref="A56:A60"/>
    <mergeCell ref="B56:B60"/>
    <mergeCell ref="C56:C63"/>
    <mergeCell ref="A72:A74"/>
    <mergeCell ref="A47:A48"/>
    <mergeCell ref="B47:B48"/>
    <mergeCell ref="A49:A55"/>
    <mergeCell ref="B49:B55"/>
    <mergeCell ref="B72:B74"/>
    <mergeCell ref="A69:A70"/>
    <mergeCell ref="B69:B70"/>
    <mergeCell ref="D43:G43"/>
    <mergeCell ref="Q45:Q46"/>
    <mergeCell ref="M45:M46"/>
    <mergeCell ref="N45:N46"/>
    <mergeCell ref="O45:O46"/>
    <mergeCell ref="P45:P46"/>
    <mergeCell ref="D45:G46"/>
    <mergeCell ref="H45:H46"/>
    <mergeCell ref="I45:I46"/>
    <mergeCell ref="D26:G26"/>
    <mergeCell ref="A27:A32"/>
    <mergeCell ref="B27:B32"/>
    <mergeCell ref="A39:A40"/>
    <mergeCell ref="B39:B40"/>
    <mergeCell ref="C39:C40"/>
    <mergeCell ref="D40:G40"/>
    <mergeCell ref="A33:A38"/>
    <mergeCell ref="B33:B38"/>
    <mergeCell ref="C33:C38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78:A79"/>
    <mergeCell ref="B78:B79"/>
    <mergeCell ref="C75:C79"/>
    <mergeCell ref="A7:A8"/>
    <mergeCell ref="B7:B8"/>
    <mergeCell ref="C7:C8"/>
    <mergeCell ref="A23:A26"/>
    <mergeCell ref="B23:B26"/>
    <mergeCell ref="A41:A43"/>
    <mergeCell ref="B41:B43"/>
    <mergeCell ref="C41:C43"/>
    <mergeCell ref="A45:A46"/>
    <mergeCell ref="B45:B46"/>
    <mergeCell ref="A64:A66"/>
    <mergeCell ref="B64:B66"/>
    <mergeCell ref="C64:C66"/>
  </mergeCells>
  <pageMargins left="0.70866141732283472" right="0.70866141732283472" top="0.74803149606299213" bottom="0.39370078740157483" header="0.31496062992125984" footer="0.31496062992125984"/>
  <pageSetup paperSize="9" scale="56" orientation="landscape" r:id="rId1"/>
  <rowBreaks count="3" manualBreakCount="3">
    <brk id="19" max="16" man="1"/>
    <brk id="40" max="16" man="1"/>
    <brk id="63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zoomScale="85" zoomScaleNormal="85" workbookViewId="0">
      <selection activeCell="M4" sqref="M4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53" t="s">
        <v>198</v>
      </c>
      <c r="L2" s="153"/>
    </row>
    <row r="3" spans="1:15" ht="109.5" customHeight="1">
      <c r="H3" s="166" t="s">
        <v>225</v>
      </c>
      <c r="I3" s="166"/>
      <c r="J3" s="166"/>
      <c r="K3" s="166"/>
      <c r="L3" s="166"/>
      <c r="M3" s="166"/>
      <c r="N3" s="54"/>
      <c r="O3" s="54"/>
    </row>
    <row r="4" spans="1:15" ht="66.75" customHeight="1">
      <c r="B4" s="173" t="s">
        <v>199</v>
      </c>
      <c r="C4" s="174"/>
      <c r="D4" s="174"/>
      <c r="E4" s="174"/>
      <c r="F4" s="174"/>
      <c r="G4" s="174"/>
      <c r="H4" s="174"/>
      <c r="I4" s="174"/>
      <c r="J4" s="174"/>
      <c r="K4" s="174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78" t="s">
        <v>0</v>
      </c>
      <c r="B6" s="170" t="s">
        <v>1</v>
      </c>
      <c r="C6" s="170" t="s">
        <v>53</v>
      </c>
      <c r="D6" s="175" t="s">
        <v>54</v>
      </c>
      <c r="E6" s="176"/>
      <c r="F6" s="176"/>
      <c r="G6" s="176"/>
      <c r="H6" s="176"/>
      <c r="I6" s="176"/>
      <c r="J6" s="176"/>
      <c r="K6" s="176"/>
      <c r="L6" s="176"/>
      <c r="M6" s="177"/>
    </row>
    <row r="7" spans="1:15" ht="16.5" thickBot="1">
      <c r="A7" s="179"/>
      <c r="B7" s="172"/>
      <c r="C7" s="172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78" t="s">
        <v>55</v>
      </c>
      <c r="B9" s="170" t="s">
        <v>10</v>
      </c>
      <c r="C9" s="74" t="s">
        <v>56</v>
      </c>
      <c r="D9" s="75">
        <f>D14++D59+D104+D119</f>
        <v>153415</v>
      </c>
      <c r="E9" s="75">
        <f t="shared" ref="E9:M9" si="0">E14++E59+E104+E119</f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1">
        <f t="shared" si="0"/>
        <v>283570.36900000006</v>
      </c>
      <c r="K9" s="101">
        <f t="shared" si="0"/>
        <v>384748.62000000005</v>
      </c>
      <c r="L9" s="101">
        <f t="shared" si="0"/>
        <v>235330.28</v>
      </c>
      <c r="M9" s="101">
        <f t="shared" si="0"/>
        <v>237547.10000000003</v>
      </c>
      <c r="O9" s="37">
        <f>SUM(D9:M9)</f>
        <v>2355250.5690000001</v>
      </c>
    </row>
    <row r="10" spans="1:15" ht="47.25" customHeight="1" thickBot="1">
      <c r="A10" s="183"/>
      <c r="B10" s="171"/>
      <c r="C10" s="74" t="s">
        <v>57</v>
      </c>
      <c r="D10" s="75">
        <f>D15++D60+D105+D120</f>
        <v>41743.199999999997</v>
      </c>
      <c r="E10" s="75">
        <f t="shared" ref="E10:M10" si="1">E15++E60+E105+E120</f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1">
        <f t="shared" si="1"/>
        <v>90652.068999999974</v>
      </c>
      <c r="K10" s="101">
        <f t="shared" si="1"/>
        <v>88697.3</v>
      </c>
      <c r="L10" s="101">
        <f t="shared" si="1"/>
        <v>78695</v>
      </c>
      <c r="M10" s="101">
        <f t="shared" si="1"/>
        <v>79693.5</v>
      </c>
      <c r="O10" s="37">
        <f t="shared" ref="O10:O18" si="2">SUM(D10:M10)</f>
        <v>689877.76899999997</v>
      </c>
    </row>
    <row r="11" spans="1:15" ht="47.25" customHeight="1" thickBot="1">
      <c r="A11" s="183"/>
      <c r="B11" s="171"/>
      <c r="C11" s="74" t="s">
        <v>58</v>
      </c>
      <c r="D11" s="75">
        <f>D16++D61+D106+D121</f>
        <v>94876.4</v>
      </c>
      <c r="E11" s="75">
        <f t="shared" ref="E11:M11" si="3">E16++E61+E106+E121</f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1">
        <f t="shared" si="3"/>
        <v>154994.9</v>
      </c>
      <c r="K11" s="101">
        <f t="shared" si="3"/>
        <v>150449.29</v>
      </c>
      <c r="L11" s="101">
        <f t="shared" si="3"/>
        <v>127378.38000000002</v>
      </c>
      <c r="M11" s="101">
        <f t="shared" si="3"/>
        <v>127526.20000000001</v>
      </c>
      <c r="O11" s="37">
        <f t="shared" si="2"/>
        <v>1278231.97</v>
      </c>
    </row>
    <row r="12" spans="1:15" ht="47.25" customHeight="1" thickBot="1">
      <c r="A12" s="183"/>
      <c r="B12" s="171"/>
      <c r="C12" s="74" t="s">
        <v>59</v>
      </c>
      <c r="D12" s="75">
        <f>D17++D62+D107+D122</f>
        <v>2281.6999999999998</v>
      </c>
      <c r="E12" s="75">
        <f t="shared" ref="E12:M12" si="4">E17++E62+E107+E122</f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1">
        <f t="shared" si="4"/>
        <v>23560.400000000001</v>
      </c>
      <c r="K12" s="101">
        <f t="shared" si="4"/>
        <v>130602.03</v>
      </c>
      <c r="L12" s="101">
        <f t="shared" si="4"/>
        <v>14256.9</v>
      </c>
      <c r="M12" s="101">
        <f t="shared" si="4"/>
        <v>14327.4</v>
      </c>
      <c r="O12" s="37">
        <f t="shared" si="2"/>
        <v>235083.43</v>
      </c>
    </row>
    <row r="13" spans="1:15" ht="47.25" customHeight="1" thickBot="1">
      <c r="A13" s="179"/>
      <c r="B13" s="172"/>
      <c r="C13" s="76" t="s">
        <v>60</v>
      </c>
      <c r="D13" s="75">
        <f>D18++D63+D108+D123</f>
        <v>14513.7</v>
      </c>
      <c r="E13" s="75">
        <f t="shared" ref="E13:M13" si="5">E18++E63+E108+E123</f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1">
        <f t="shared" si="5"/>
        <v>14363</v>
      </c>
      <c r="K13" s="101">
        <f t="shared" si="5"/>
        <v>15000</v>
      </c>
      <c r="L13" s="101">
        <f t="shared" si="5"/>
        <v>15000</v>
      </c>
      <c r="M13" s="101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80" t="s">
        <v>12</v>
      </c>
      <c r="B14" s="167" t="s">
        <v>13</v>
      </c>
      <c r="C14" s="74" t="s">
        <v>56</v>
      </c>
      <c r="D14" s="75">
        <f>D19+D24+D29+D34+D39+D44+D49+D54</f>
        <v>136286.19999999998</v>
      </c>
      <c r="E14" s="75">
        <f t="shared" ref="E14:L14" si="6">E19+E24+E29+E34+E39+E44+E49+E54</f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1">
        <f t="shared" si="6"/>
        <v>253044.72900000002</v>
      </c>
      <c r="K14" s="101">
        <f t="shared" si="6"/>
        <v>241746.10000000003</v>
      </c>
      <c r="L14" s="101">
        <f t="shared" si="6"/>
        <v>212110.28</v>
      </c>
      <c r="M14" s="101">
        <f>M19+M24+M29+M34+M39+M44+M49+M54</f>
        <v>213017.00000000003</v>
      </c>
      <c r="N14" s="71"/>
      <c r="O14" s="80">
        <f>SUM(D14:M14)</f>
        <v>2028987.8090000001</v>
      </c>
    </row>
    <row r="15" spans="1:15" ht="47.25" customHeight="1" thickBot="1">
      <c r="A15" s="181"/>
      <c r="B15" s="168"/>
      <c r="C15" s="74" t="s">
        <v>57</v>
      </c>
      <c r="D15" s="75">
        <f t="shared" ref="D15:M18" si="7">D20+D25+D30+D35+D40+D45+D50+D55</f>
        <v>30182.1</v>
      </c>
      <c r="E15" s="75">
        <f t="shared" si="7"/>
        <v>28921.3</v>
      </c>
      <c r="F15" s="75">
        <f t="shared" si="7"/>
        <v>32533.5</v>
      </c>
      <c r="G15" s="75">
        <f t="shared" si="7"/>
        <v>63198.400000000001</v>
      </c>
      <c r="H15" s="75">
        <f t="shared" si="7"/>
        <v>58259.200000000004</v>
      </c>
      <c r="I15" s="75">
        <f t="shared" si="7"/>
        <v>62697.2</v>
      </c>
      <c r="J15" s="101">
        <f>J20+J25+J30+J35+J40+J45+J50+J55</f>
        <v>70815.828999999969</v>
      </c>
      <c r="K15" s="101">
        <f t="shared" si="7"/>
        <v>64062.9</v>
      </c>
      <c r="L15" s="101">
        <f t="shared" si="7"/>
        <v>55800.800000000003</v>
      </c>
      <c r="M15" s="101">
        <f t="shared" si="7"/>
        <v>55489.200000000004</v>
      </c>
      <c r="N15" s="71"/>
      <c r="O15" s="80">
        <f t="shared" si="2"/>
        <v>521960.429</v>
      </c>
    </row>
    <row r="16" spans="1:15" ht="47.25" customHeight="1" thickBot="1">
      <c r="A16" s="181"/>
      <c r="B16" s="168"/>
      <c r="C16" s="74" t="s">
        <v>58</v>
      </c>
      <c r="D16" s="75">
        <f t="shared" si="7"/>
        <v>91332.2</v>
      </c>
      <c r="E16" s="75">
        <f t="shared" si="7"/>
        <v>103105.2</v>
      </c>
      <c r="F16" s="75">
        <f t="shared" si="7"/>
        <v>118408</v>
      </c>
      <c r="G16" s="75">
        <f t="shared" si="7"/>
        <v>119887</v>
      </c>
      <c r="H16" s="75">
        <f t="shared" si="7"/>
        <v>132968.1</v>
      </c>
      <c r="I16" s="75">
        <f t="shared" si="7"/>
        <v>136790.09999999998</v>
      </c>
      <c r="J16" s="101">
        <f t="shared" si="7"/>
        <v>153812.1</v>
      </c>
      <c r="K16" s="101">
        <f t="shared" si="7"/>
        <v>148426.30000000002</v>
      </c>
      <c r="L16" s="101">
        <f t="shared" si="7"/>
        <v>127052.58000000002</v>
      </c>
      <c r="M16" s="101">
        <f t="shared" si="7"/>
        <v>127200.40000000001</v>
      </c>
      <c r="O16" s="37">
        <f t="shared" si="2"/>
        <v>1258981.98</v>
      </c>
    </row>
    <row r="17" spans="1:15" ht="47.25" customHeight="1" thickBot="1">
      <c r="A17" s="181"/>
      <c r="B17" s="168"/>
      <c r="C17" s="74" t="s">
        <v>59</v>
      </c>
      <c r="D17" s="75">
        <f t="shared" si="7"/>
        <v>258.2</v>
      </c>
      <c r="E17" s="75">
        <f t="shared" si="7"/>
        <v>147.19999999999999</v>
      </c>
      <c r="F17" s="75">
        <f t="shared" si="7"/>
        <v>168.1</v>
      </c>
      <c r="G17" s="75">
        <f t="shared" si="7"/>
        <v>378.3</v>
      </c>
      <c r="H17" s="75">
        <f t="shared" si="7"/>
        <v>5020.8999999999996</v>
      </c>
      <c r="I17" s="75">
        <f t="shared" si="7"/>
        <v>33120.300000000003</v>
      </c>
      <c r="J17" s="101">
        <f t="shared" si="7"/>
        <v>14053.8</v>
      </c>
      <c r="K17" s="101">
        <f t="shared" si="7"/>
        <v>14256.9</v>
      </c>
      <c r="L17" s="101">
        <f t="shared" si="7"/>
        <v>14256.9</v>
      </c>
      <c r="M17" s="101">
        <f t="shared" si="7"/>
        <v>14327.4</v>
      </c>
      <c r="O17" s="37">
        <f t="shared" si="2"/>
        <v>95987.999999999985</v>
      </c>
    </row>
    <row r="18" spans="1:15" ht="47.25" customHeight="1" thickBot="1">
      <c r="A18" s="182"/>
      <c r="B18" s="169"/>
      <c r="C18" s="76" t="s">
        <v>60</v>
      </c>
      <c r="D18" s="75">
        <f t="shared" si="7"/>
        <v>14513.7</v>
      </c>
      <c r="E18" s="75">
        <f t="shared" si="7"/>
        <v>16634.599999999999</v>
      </c>
      <c r="F18" s="75">
        <f t="shared" si="7"/>
        <v>17405.400000000001</v>
      </c>
      <c r="G18" s="75">
        <f t="shared" si="7"/>
        <v>17425.8</v>
      </c>
      <c r="H18" s="75">
        <f t="shared" si="7"/>
        <v>11347</v>
      </c>
      <c r="I18" s="75">
        <f t="shared" si="7"/>
        <v>14367.9</v>
      </c>
      <c r="J18" s="101">
        <f>J23+J28+J33+J38+J43+J48+J53+J58</f>
        <v>14363</v>
      </c>
      <c r="K18" s="101">
        <f t="shared" si="7"/>
        <v>15000</v>
      </c>
      <c r="L18" s="101">
        <f t="shared" si="7"/>
        <v>15000</v>
      </c>
      <c r="M18" s="101">
        <f t="shared" si="7"/>
        <v>16000</v>
      </c>
      <c r="O18" s="37">
        <f t="shared" si="2"/>
        <v>152057.4</v>
      </c>
    </row>
    <row r="19" spans="1:15" ht="47.25" customHeight="1" thickBot="1">
      <c r="A19" s="180" t="s">
        <v>14</v>
      </c>
      <c r="B19" s="167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1">
        <f t="shared" ref="J19" si="13">SUM(J20:J23)</f>
        <v>79410.128999999986</v>
      </c>
      <c r="K19" s="101">
        <f t="shared" ref="K19" si="14">SUM(K20:K23)</f>
        <v>73424.600000000006</v>
      </c>
      <c r="L19" s="101">
        <f t="shared" ref="L19" si="15">SUM(L20:L23)</f>
        <v>65996.3</v>
      </c>
      <c r="M19" s="101">
        <f t="shared" ref="M19" si="16">SUM(M20:M23)</f>
        <v>66683.200000000012</v>
      </c>
    </row>
    <row r="20" spans="1:15" ht="47.25" customHeight="1" thickBot="1">
      <c r="A20" s="181"/>
      <c r="B20" s="168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1">
        <f>48510.4+1836+90+772.3+320.7+20+60+156+44.06+41.1+235+359+452+146+54.4+945.6+147.2+445.6+7.2+511.669-128.8+7.5+507.6+202.7+1200+100+340+343.6+6395.6+222.2+1.6+286.5+129.5+281.4+1.5+2</f>
        <v>65047.128999999979</v>
      </c>
      <c r="K20" s="101">
        <f>58250.6+174</f>
        <v>58424.6</v>
      </c>
      <c r="L20" s="101">
        <v>50996.3</v>
      </c>
      <c r="M20" s="101">
        <v>50683.200000000004</v>
      </c>
    </row>
    <row r="21" spans="1:15" ht="47.25" customHeight="1" thickBot="1">
      <c r="A21" s="181"/>
      <c r="B21" s="168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5" ht="47.25" customHeight="1" thickBot="1">
      <c r="A22" s="181"/>
      <c r="B22" s="168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5" ht="47.25" customHeight="1" thickBot="1">
      <c r="A23" s="182"/>
      <c r="B23" s="169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1">
        <v>14363</v>
      </c>
      <c r="K23" s="101">
        <v>15000</v>
      </c>
      <c r="L23" s="101">
        <v>15000</v>
      </c>
      <c r="M23" s="101">
        <v>16000</v>
      </c>
    </row>
    <row r="24" spans="1:15" ht="47.25" customHeight="1" thickBot="1">
      <c r="A24" s="180" t="s">
        <v>14</v>
      </c>
      <c r="B24" s="167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1">
        <f t="shared" ref="J24" si="22">SUM(J25:J28)</f>
        <v>122447.30000000002</v>
      </c>
      <c r="K24" s="101">
        <f t="shared" ref="K24" si="23">SUM(K25:K28)</f>
        <v>126380.8</v>
      </c>
      <c r="L24" s="101">
        <f t="shared" ref="L24" si="24">SUM(L25:L28)</f>
        <v>113742.68000000001</v>
      </c>
      <c r="M24" s="101">
        <f t="shared" ref="M24" si="25">SUM(M25:M28)</f>
        <v>113742.70000000001</v>
      </c>
    </row>
    <row r="25" spans="1:15" ht="47.25" customHeight="1" thickBot="1">
      <c r="A25" s="181"/>
      <c r="B25" s="168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5" ht="47.25" customHeight="1" thickBot="1">
      <c r="A26" s="181"/>
      <c r="B26" s="168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1">
        <f>110365.6+586+407+639+7604.1+413.3+1258.3+389+785</f>
        <v>122447.30000000002</v>
      </c>
      <c r="K26" s="101">
        <v>126380.8</v>
      </c>
      <c r="L26" s="101">
        <v>113742.68000000001</v>
      </c>
      <c r="M26" s="101">
        <v>113742.70000000001</v>
      </c>
    </row>
    <row r="27" spans="1:15" ht="47.25" customHeight="1" thickBot="1">
      <c r="A27" s="181"/>
      <c r="B27" s="168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5" ht="47.25" customHeight="1" thickBot="1">
      <c r="A28" s="182"/>
      <c r="B28" s="169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1">
        <v>0</v>
      </c>
      <c r="K28" s="101">
        <v>0</v>
      </c>
      <c r="L28" s="101">
        <v>0</v>
      </c>
      <c r="M28" s="101">
        <v>0</v>
      </c>
    </row>
    <row r="29" spans="1:15" ht="47.25" customHeight="1" thickBot="1">
      <c r="A29" s="180" t="s">
        <v>14</v>
      </c>
      <c r="B29" s="184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1">
        <f t="shared" ref="J29" si="31">SUM(J30:J33)</f>
        <v>11783.099999999999</v>
      </c>
      <c r="K29" s="101">
        <f t="shared" ref="K29" si="32">SUM(K30:K33)</f>
        <v>12400.6</v>
      </c>
      <c r="L29" s="101">
        <f t="shared" ref="L29" si="33">SUM(L30:L33)</f>
        <v>11866.8</v>
      </c>
      <c r="M29" s="101">
        <f t="shared" ref="M29" si="34">SUM(M30:M33)</f>
        <v>12086.599999999999</v>
      </c>
    </row>
    <row r="30" spans="1:15" ht="47.25" customHeight="1" thickBot="1">
      <c r="A30" s="181"/>
      <c r="B30" s="185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1">
        <v>0.7</v>
      </c>
      <c r="K30" s="101">
        <f>5337.6+0.7</f>
        <v>5338.3</v>
      </c>
      <c r="L30" s="101">
        <f>4803.8+0.7</f>
        <v>4804.5</v>
      </c>
      <c r="M30" s="101">
        <f>4803.8+2.2</f>
        <v>4806</v>
      </c>
    </row>
    <row r="31" spans="1:15" ht="47.25" customHeight="1" thickBot="1">
      <c r="A31" s="181"/>
      <c r="B31" s="185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1">
        <f>3656.2+272.7+908+0.8</f>
        <v>4837.7</v>
      </c>
      <c r="K31" s="101">
        <v>70.599999999999994</v>
      </c>
      <c r="L31" s="101">
        <v>70.599999999999994</v>
      </c>
      <c r="M31" s="101">
        <v>218.4</v>
      </c>
    </row>
    <row r="32" spans="1:15" ht="47.25" customHeight="1" thickBot="1">
      <c r="A32" s="181"/>
      <c r="B32" s="185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1">
        <f>6856.2+88.5</f>
        <v>6944.7</v>
      </c>
      <c r="K32" s="101">
        <v>6991.7</v>
      </c>
      <c r="L32" s="101">
        <v>6991.7</v>
      </c>
      <c r="M32" s="101">
        <v>7062.2</v>
      </c>
    </row>
    <row r="33" spans="1:13" ht="61.5" customHeight="1" thickBot="1">
      <c r="A33" s="181"/>
      <c r="B33" s="185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3">
        <v>0</v>
      </c>
      <c r="K33" s="103">
        <v>0</v>
      </c>
      <c r="L33" s="103">
        <v>0</v>
      </c>
      <c r="M33" s="103">
        <v>0</v>
      </c>
    </row>
    <row r="34" spans="1:13" ht="47.25" customHeight="1" thickBot="1">
      <c r="A34" s="180" t="s">
        <v>14</v>
      </c>
      <c r="B34" s="184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1">
        <f t="shared" ref="J34" si="40">SUM(J35:J38)</f>
        <v>14535.599999999999</v>
      </c>
      <c r="K34" s="101">
        <f t="shared" ref="K34" si="41">SUM(K35:K38)</f>
        <v>14710.3</v>
      </c>
      <c r="L34" s="101">
        <f t="shared" ref="L34" si="42">SUM(L35:L38)</f>
        <v>13239.3</v>
      </c>
      <c r="M34" s="101">
        <f t="shared" ref="M34" si="43">SUM(M35:M38)</f>
        <v>13239.3</v>
      </c>
    </row>
    <row r="35" spans="1:13" ht="47.25" customHeight="1" thickBot="1">
      <c r="A35" s="181"/>
      <c r="B35" s="185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3" ht="47.25" customHeight="1" thickBot="1">
      <c r="A36" s="181"/>
      <c r="B36" s="185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1">
        <f>13845.8+117.9+571.9</f>
        <v>14535.599999999999</v>
      </c>
      <c r="K36" s="101">
        <v>14710.3</v>
      </c>
      <c r="L36" s="101">
        <v>13239.3</v>
      </c>
      <c r="M36" s="101">
        <v>13239.3</v>
      </c>
    </row>
    <row r="37" spans="1:13" ht="47.25" customHeight="1" thickBot="1">
      <c r="A37" s="181"/>
      <c r="B37" s="185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3" ht="47.25" customHeight="1" thickBot="1">
      <c r="A38" s="182"/>
      <c r="B38" s="186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3" ht="47.25" customHeight="1" thickBot="1">
      <c r="A39" s="180" t="s">
        <v>14</v>
      </c>
      <c r="B39" s="167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1">
        <f t="shared" ref="J39" si="49">SUM(J40:J43)</f>
        <v>11991.5</v>
      </c>
      <c r="K39" s="101">
        <f t="shared" ref="K39" si="50">SUM(K40:K43)</f>
        <v>7264.6</v>
      </c>
      <c r="L39" s="101">
        <f t="shared" ref="L39" si="51">SUM(L40:L43)</f>
        <v>0</v>
      </c>
      <c r="M39" s="101">
        <f t="shared" ref="M39" si="52">SUM(M40:M43)</f>
        <v>0</v>
      </c>
    </row>
    <row r="40" spans="1:13" ht="47.25" customHeight="1" thickBot="1">
      <c r="A40" s="181"/>
      <c r="B40" s="168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3" ht="47.25" customHeight="1" thickBot="1">
      <c r="A41" s="181"/>
      <c r="B41" s="168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1">
        <v>11991.5</v>
      </c>
      <c r="K41" s="101">
        <v>7264.6</v>
      </c>
      <c r="L41" s="101">
        <v>0</v>
      </c>
      <c r="M41" s="101">
        <v>0</v>
      </c>
    </row>
    <row r="42" spans="1:13" ht="47.25" customHeight="1" thickBot="1">
      <c r="A42" s="181"/>
      <c r="B42" s="168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1">
        <v>0</v>
      </c>
      <c r="K42" s="101">
        <v>0</v>
      </c>
      <c r="L42" s="101">
        <v>0</v>
      </c>
      <c r="M42" s="101">
        <v>0</v>
      </c>
    </row>
    <row r="43" spans="1:13" ht="47.25" customHeight="1" thickBot="1">
      <c r="A43" s="182"/>
      <c r="B43" s="169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3" ht="47.25" customHeight="1" thickBot="1">
      <c r="A44" s="180" t="s">
        <v>14</v>
      </c>
      <c r="B44" s="167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1">
        <f t="shared" ref="J44" si="58">SUM(J45:J48)</f>
        <v>5768</v>
      </c>
      <c r="K44" s="101">
        <f t="shared" ref="K44" si="59">SUM(K45:K48)</f>
        <v>300</v>
      </c>
      <c r="L44" s="101">
        <f t="shared" ref="L44" si="60">SUM(L45:L48)</f>
        <v>0</v>
      </c>
      <c r="M44" s="101">
        <f t="shared" ref="M44" si="61">SUM(M45:M48)</f>
        <v>0</v>
      </c>
    </row>
    <row r="45" spans="1:13" ht="47.25" customHeight="1" thickBot="1">
      <c r="A45" s="181"/>
      <c r="B45" s="168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1">
        <v>300</v>
      </c>
      <c r="L45" s="101">
        <v>0</v>
      </c>
      <c r="M45" s="101">
        <v>0</v>
      </c>
    </row>
    <row r="46" spans="1:13" ht="47.25" customHeight="1" thickBot="1">
      <c r="A46" s="181"/>
      <c r="B46" s="168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1">
        <v>0</v>
      </c>
      <c r="K46" s="101">
        <v>0</v>
      </c>
      <c r="L46" s="101">
        <v>0</v>
      </c>
      <c r="M46" s="101">
        <v>0</v>
      </c>
    </row>
    <row r="47" spans="1:13" ht="47.25" customHeight="1" thickBot="1">
      <c r="A47" s="181"/>
      <c r="B47" s="168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1">
        <v>0</v>
      </c>
      <c r="K47" s="101">
        <v>0</v>
      </c>
      <c r="L47" s="101">
        <v>0</v>
      </c>
      <c r="M47" s="101">
        <v>0</v>
      </c>
    </row>
    <row r="48" spans="1:13" ht="47.25" customHeight="1" thickBot="1">
      <c r="A48" s="182"/>
      <c r="B48" s="169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1">
        <v>0</v>
      </c>
      <c r="K48" s="101">
        <v>0</v>
      </c>
      <c r="L48" s="101">
        <v>0</v>
      </c>
      <c r="M48" s="101">
        <v>0</v>
      </c>
    </row>
    <row r="49" spans="1:15" ht="47.25" customHeight="1" thickBot="1">
      <c r="A49" s="187" t="s">
        <v>14</v>
      </c>
      <c r="B49" s="184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1">
        <f t="shared" ref="J49" si="67">SUM(J50:J53)</f>
        <v>0</v>
      </c>
      <c r="K49" s="101">
        <f t="shared" ref="K49" si="68">SUM(K50:K53)</f>
        <v>0</v>
      </c>
      <c r="L49" s="101">
        <f t="shared" ref="L49" si="69">SUM(L50:L53)</f>
        <v>0</v>
      </c>
      <c r="M49" s="101">
        <f t="shared" ref="M49" si="70">SUM(M50:M53)</f>
        <v>0</v>
      </c>
    </row>
    <row r="50" spans="1:15" ht="47.25" customHeight="1" thickBot="1">
      <c r="A50" s="188"/>
      <c r="B50" s="185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1">
        <v>0</v>
      </c>
      <c r="K50" s="101">
        <v>0</v>
      </c>
      <c r="L50" s="101">
        <v>0</v>
      </c>
      <c r="M50" s="101">
        <v>0</v>
      </c>
    </row>
    <row r="51" spans="1:15" ht="47.25" customHeight="1" thickBot="1">
      <c r="A51" s="188"/>
      <c r="B51" s="185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1">
        <v>0</v>
      </c>
      <c r="K51" s="101">
        <v>0</v>
      </c>
      <c r="L51" s="101">
        <v>0</v>
      </c>
      <c r="M51" s="101">
        <v>0</v>
      </c>
    </row>
    <row r="52" spans="1:15" ht="47.25" customHeight="1" thickBot="1">
      <c r="A52" s="188"/>
      <c r="B52" s="185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1">
        <v>0</v>
      </c>
      <c r="K52" s="101">
        <v>0</v>
      </c>
      <c r="L52" s="101">
        <v>0</v>
      </c>
      <c r="M52" s="101">
        <v>0</v>
      </c>
    </row>
    <row r="53" spans="1:15" ht="47.25" customHeight="1" thickBot="1">
      <c r="A53" s="189"/>
      <c r="B53" s="186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1">
        <v>0</v>
      </c>
      <c r="K53" s="101">
        <v>0</v>
      </c>
      <c r="L53" s="101">
        <v>0</v>
      </c>
      <c r="M53" s="101">
        <v>0</v>
      </c>
    </row>
    <row r="54" spans="1:15" ht="47.25" customHeight="1" thickBot="1">
      <c r="A54" s="187" t="s">
        <v>14</v>
      </c>
      <c r="B54" s="190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1">
        <f t="shared" ref="J54" si="76">SUM(J55:J58)</f>
        <v>7109.1</v>
      </c>
      <c r="K54" s="101">
        <f t="shared" ref="K54" si="77">SUM(K55:K58)</f>
        <v>7265.2</v>
      </c>
      <c r="L54" s="101">
        <f t="shared" ref="L54" si="78">SUM(L55:L58)</f>
        <v>7265.2</v>
      </c>
      <c r="M54" s="101">
        <f t="shared" ref="M54" si="79">SUM(M55:M58)</f>
        <v>7265.2</v>
      </c>
    </row>
    <row r="55" spans="1:15" ht="47.25" customHeight="1" thickBot="1">
      <c r="A55" s="188"/>
      <c r="B55" s="191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5" ht="47.25" customHeight="1" thickBot="1">
      <c r="A56" s="188"/>
      <c r="B56" s="191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1">
        <v>0</v>
      </c>
      <c r="K56" s="101">
        <v>0</v>
      </c>
      <c r="L56" s="101">
        <v>0</v>
      </c>
      <c r="M56" s="101">
        <v>0</v>
      </c>
    </row>
    <row r="57" spans="1:15" ht="47.25" customHeight="1" thickBot="1">
      <c r="A57" s="188"/>
      <c r="B57" s="191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1">
        <v>7109.1</v>
      </c>
      <c r="K57" s="101">
        <v>7265.2</v>
      </c>
      <c r="L57" s="101">
        <v>7265.2</v>
      </c>
      <c r="M57" s="101">
        <v>7265.2</v>
      </c>
    </row>
    <row r="58" spans="1:15" ht="47.25" customHeight="1" thickBot="1">
      <c r="A58" s="189"/>
      <c r="B58" s="192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1">
        <v>0</v>
      </c>
      <c r="K58" s="101">
        <v>0</v>
      </c>
      <c r="L58" s="101"/>
      <c r="M58" s="101"/>
      <c r="O58" s="71"/>
    </row>
    <row r="59" spans="1:15" ht="47.25" customHeight="1" thickBot="1">
      <c r="A59" s="180" t="s">
        <v>12</v>
      </c>
      <c r="B59" s="167" t="s">
        <v>27</v>
      </c>
      <c r="C59" s="74" t="s">
        <v>56</v>
      </c>
      <c r="D59" s="75">
        <f>D64+D69+D74+D79+D84</f>
        <v>576.20000000000005</v>
      </c>
      <c r="E59" s="75">
        <f t="shared" ref="E59:I59" si="80">E64+E69+E74+E79+E84</f>
        <v>713.7</v>
      </c>
      <c r="F59" s="75">
        <f t="shared" si="80"/>
        <v>2506.9</v>
      </c>
      <c r="G59" s="75">
        <f t="shared" si="80"/>
        <v>498.9</v>
      </c>
      <c r="H59" s="75">
        <f t="shared" si="80"/>
        <v>3634.3</v>
      </c>
      <c r="I59" s="75">
        <f t="shared" si="80"/>
        <v>2444</v>
      </c>
      <c r="J59" s="101">
        <f>J64+J69+J74+J79+J84+J89+J94</f>
        <v>16205.5</v>
      </c>
      <c r="K59" s="101">
        <f>K64+K69+K74+K79+K84+K89+K94+K99</f>
        <v>124797.88</v>
      </c>
      <c r="L59" s="101">
        <f t="shared" ref="L59:M59" si="81">L64+L69+L74+L79+L84+L89+L94</f>
        <v>7119.8</v>
      </c>
      <c r="M59" s="101">
        <f t="shared" si="81"/>
        <v>7432.7000000000007</v>
      </c>
      <c r="O59" s="80">
        <f t="shared" ref="O59:O63" si="82">SUM(D59:M59)</f>
        <v>165929.88</v>
      </c>
    </row>
    <row r="60" spans="1:15" ht="47.25" customHeight="1" thickBot="1">
      <c r="A60" s="181"/>
      <c r="B60" s="168"/>
      <c r="C60" s="74" t="s">
        <v>57</v>
      </c>
      <c r="D60" s="75">
        <f t="shared" ref="D60:I63" si="83">D65+D70+D75+D80+D85</f>
        <v>0</v>
      </c>
      <c r="E60" s="75">
        <f t="shared" si="83"/>
        <v>0</v>
      </c>
      <c r="F60" s="75">
        <f t="shared" si="83"/>
        <v>71.599999999999994</v>
      </c>
      <c r="G60" s="75">
        <f t="shared" si="83"/>
        <v>24</v>
      </c>
      <c r="H60" s="75">
        <f t="shared" si="83"/>
        <v>34.799999999999997</v>
      </c>
      <c r="I60" s="75">
        <f t="shared" si="83"/>
        <v>1960.3</v>
      </c>
      <c r="J60" s="101">
        <f t="shared" ref="J60:M60" si="84">J65+J70+J75+J80+J85+J90+J95</f>
        <v>6002.1</v>
      </c>
      <c r="K60" s="101">
        <f t="shared" ref="K60:K63" si="85">K65+K70+K75+K80+K85+K90+K95+K100</f>
        <v>6761.76</v>
      </c>
      <c r="L60" s="101">
        <f t="shared" si="84"/>
        <v>6794</v>
      </c>
      <c r="M60" s="101">
        <f t="shared" si="84"/>
        <v>7106.9000000000005</v>
      </c>
      <c r="O60" s="80">
        <f t="shared" si="82"/>
        <v>28755.460000000003</v>
      </c>
    </row>
    <row r="61" spans="1:15" ht="47.25" customHeight="1" thickBot="1">
      <c r="A61" s="181"/>
      <c r="B61" s="168"/>
      <c r="C61" s="74" t="s">
        <v>58</v>
      </c>
      <c r="D61" s="75">
        <f t="shared" si="83"/>
        <v>576.20000000000005</v>
      </c>
      <c r="E61" s="75">
        <f t="shared" ref="E61:I61" si="86">E66+E71+E76+E81+E86</f>
        <v>713.7</v>
      </c>
      <c r="F61" s="75">
        <f t="shared" si="86"/>
        <v>595.29999999999995</v>
      </c>
      <c r="G61" s="75">
        <f t="shared" si="86"/>
        <v>474.9</v>
      </c>
      <c r="H61" s="75">
        <f t="shared" si="86"/>
        <v>193.3</v>
      </c>
      <c r="I61" s="75">
        <f t="shared" si="86"/>
        <v>483.7</v>
      </c>
      <c r="J61" s="101">
        <f t="shared" ref="J61:M61" si="87">J66+J71+J76+J81+J86+J91+J96</f>
        <v>696.80000000000007</v>
      </c>
      <c r="K61" s="101">
        <f t="shared" si="85"/>
        <v>1690.99</v>
      </c>
      <c r="L61" s="101">
        <f t="shared" si="87"/>
        <v>325.8</v>
      </c>
      <c r="M61" s="101">
        <f t="shared" si="87"/>
        <v>325.8</v>
      </c>
      <c r="O61" s="37">
        <f t="shared" si="82"/>
        <v>6076.4900000000007</v>
      </c>
    </row>
    <row r="62" spans="1:15" ht="47.25" customHeight="1" thickBot="1">
      <c r="A62" s="181"/>
      <c r="B62" s="168"/>
      <c r="C62" s="74" t="s">
        <v>59</v>
      </c>
      <c r="D62" s="75">
        <f t="shared" si="83"/>
        <v>0</v>
      </c>
      <c r="E62" s="75">
        <f t="shared" ref="E62:I62" si="88">E67+E72+E77+E82+E87</f>
        <v>0</v>
      </c>
      <c r="F62" s="75">
        <f t="shared" si="88"/>
        <v>1840</v>
      </c>
      <c r="G62" s="75">
        <f t="shared" si="88"/>
        <v>0</v>
      </c>
      <c r="H62" s="75">
        <f t="shared" si="88"/>
        <v>3406.2</v>
      </c>
      <c r="I62" s="75">
        <f t="shared" si="88"/>
        <v>0</v>
      </c>
      <c r="J62" s="101">
        <f t="shared" ref="J62:M62" si="89">J67+J72+J77+J82+J87+J92+J97</f>
        <v>9506.6</v>
      </c>
      <c r="K62" s="101">
        <f t="shared" si="85"/>
        <v>116345.13</v>
      </c>
      <c r="L62" s="101">
        <f t="shared" si="89"/>
        <v>0</v>
      </c>
      <c r="M62" s="101">
        <f t="shared" si="89"/>
        <v>0</v>
      </c>
      <c r="O62" s="37">
        <f t="shared" si="82"/>
        <v>131097.93</v>
      </c>
    </row>
    <row r="63" spans="1:15" ht="47.25" customHeight="1" thickBot="1">
      <c r="A63" s="182"/>
      <c r="B63" s="169"/>
      <c r="C63" s="76" t="s">
        <v>60</v>
      </c>
      <c r="D63" s="75">
        <f t="shared" si="83"/>
        <v>0</v>
      </c>
      <c r="E63" s="75">
        <f t="shared" ref="E63:I63" si="90">E68+E73+E78+E83+E88</f>
        <v>0</v>
      </c>
      <c r="F63" s="75">
        <f t="shared" si="90"/>
        <v>0</v>
      </c>
      <c r="G63" s="75">
        <f t="shared" si="90"/>
        <v>0</v>
      </c>
      <c r="H63" s="75">
        <f t="shared" si="90"/>
        <v>0</v>
      </c>
      <c r="I63" s="75">
        <f t="shared" si="90"/>
        <v>0</v>
      </c>
      <c r="J63" s="101">
        <f t="shared" ref="J63:M63" si="91">J68+J73+J78+J83+J88+J93+J98</f>
        <v>0</v>
      </c>
      <c r="K63" s="101">
        <f t="shared" si="85"/>
        <v>0</v>
      </c>
      <c r="L63" s="101">
        <f t="shared" si="91"/>
        <v>0</v>
      </c>
      <c r="M63" s="101">
        <f t="shared" si="91"/>
        <v>0</v>
      </c>
      <c r="O63" s="37">
        <f t="shared" si="82"/>
        <v>0</v>
      </c>
    </row>
    <row r="64" spans="1:15" ht="47.25" customHeight="1" thickBot="1">
      <c r="A64" s="180" t="s">
        <v>14</v>
      </c>
      <c r="B64" s="167" t="s">
        <v>29</v>
      </c>
      <c r="C64" s="74" t="s">
        <v>56</v>
      </c>
      <c r="D64" s="75">
        <f>SUM(D65:D68)</f>
        <v>0</v>
      </c>
      <c r="E64" s="75">
        <f t="shared" ref="E64" si="92">SUM(E65:E68)</f>
        <v>0</v>
      </c>
      <c r="F64" s="75">
        <f t="shared" ref="F64" si="93">SUM(F65:F68)</f>
        <v>0</v>
      </c>
      <c r="G64" s="75">
        <f t="shared" ref="G64" si="94">SUM(G65:G68)</f>
        <v>0</v>
      </c>
      <c r="H64" s="75">
        <f t="shared" ref="H64" si="95">SUM(H65:H68)</f>
        <v>0</v>
      </c>
      <c r="I64" s="75">
        <f t="shared" ref="I64" si="96">SUM(I65:I68)</f>
        <v>0</v>
      </c>
      <c r="J64" s="101">
        <f t="shared" ref="J64" si="97">SUM(J65:J68)</f>
        <v>0</v>
      </c>
      <c r="K64" s="101">
        <f t="shared" ref="K64" si="98">SUM(K65:K68)</f>
        <v>0</v>
      </c>
      <c r="L64" s="101">
        <f t="shared" ref="L64" si="99">SUM(L65:L68)</f>
        <v>0</v>
      </c>
      <c r="M64" s="101">
        <f t="shared" ref="M64" si="100">SUM(M65:M68)</f>
        <v>0</v>
      </c>
    </row>
    <row r="65" spans="1:13" ht="47.25" customHeight="1" thickBot="1">
      <c r="A65" s="181"/>
      <c r="B65" s="168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1">
        <v>0</v>
      </c>
      <c r="K65" s="101">
        <v>0</v>
      </c>
      <c r="L65" s="101">
        <v>0</v>
      </c>
      <c r="M65" s="101">
        <v>0</v>
      </c>
    </row>
    <row r="66" spans="1:13" ht="47.25" customHeight="1" thickBot="1">
      <c r="A66" s="181"/>
      <c r="B66" s="168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 ht="47.25" customHeight="1" thickBot="1">
      <c r="A67" s="181"/>
      <c r="B67" s="168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1">
        <v>0</v>
      </c>
      <c r="K67" s="101">
        <v>0</v>
      </c>
      <c r="L67" s="101">
        <v>0</v>
      </c>
      <c r="M67" s="101">
        <v>0</v>
      </c>
    </row>
    <row r="68" spans="1:13" ht="47.25" customHeight="1" thickBot="1">
      <c r="A68" s="182"/>
      <c r="B68" s="169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1">
        <v>0</v>
      </c>
      <c r="K68" s="101">
        <v>0</v>
      </c>
      <c r="L68" s="101">
        <v>0</v>
      </c>
      <c r="M68" s="101">
        <v>0</v>
      </c>
    </row>
    <row r="69" spans="1:13" ht="47.25" customHeight="1" thickBot="1">
      <c r="A69" s="180" t="s">
        <v>14</v>
      </c>
      <c r="B69" s="167" t="s">
        <v>30</v>
      </c>
      <c r="C69" s="74" t="s">
        <v>56</v>
      </c>
      <c r="D69" s="75">
        <f>SUM(D70:D73)</f>
        <v>0</v>
      </c>
      <c r="E69" s="75">
        <f t="shared" ref="E69" si="101">SUM(E70:E73)</f>
        <v>0</v>
      </c>
      <c r="F69" s="75">
        <f t="shared" ref="F69" si="102">SUM(F70:F73)</f>
        <v>2010</v>
      </c>
      <c r="G69" s="75">
        <f t="shared" ref="G69" si="103">SUM(G70:G73)</f>
        <v>0</v>
      </c>
      <c r="H69" s="75">
        <f t="shared" ref="H69" si="104">SUM(H70:H73)</f>
        <v>0</v>
      </c>
      <c r="I69" s="75">
        <f t="shared" ref="I69" si="105">SUM(I70:I73)</f>
        <v>0</v>
      </c>
      <c r="J69" s="101">
        <f t="shared" ref="J69" si="106">SUM(J70:J73)</f>
        <v>0</v>
      </c>
      <c r="K69" s="101">
        <f t="shared" ref="K69" si="107">SUM(K70:K73)</f>
        <v>0</v>
      </c>
      <c r="L69" s="101">
        <f t="shared" ref="L69" si="108">SUM(L70:L73)</f>
        <v>0</v>
      </c>
      <c r="M69" s="101">
        <f t="shared" ref="M69" si="109">SUM(M70:M73)</f>
        <v>0</v>
      </c>
    </row>
    <row r="70" spans="1:13" ht="47.25" customHeight="1" thickBot="1">
      <c r="A70" s="181"/>
      <c r="B70" s="168"/>
      <c r="C70" s="74" t="s">
        <v>57</v>
      </c>
      <c r="D70" s="75">
        <v>0</v>
      </c>
      <c r="E70" s="75">
        <v>0</v>
      </c>
      <c r="F70" s="75">
        <v>10</v>
      </c>
      <c r="G70" s="75">
        <v>0</v>
      </c>
      <c r="H70" s="75">
        <v>0</v>
      </c>
      <c r="I70" s="75">
        <v>0</v>
      </c>
      <c r="J70" s="101">
        <v>0</v>
      </c>
      <c r="K70" s="101">
        <v>0</v>
      </c>
      <c r="L70" s="101">
        <v>0</v>
      </c>
      <c r="M70" s="101">
        <v>0</v>
      </c>
    </row>
    <row r="71" spans="1:13" ht="47.25" customHeight="1" thickBot="1">
      <c r="A71" s="181"/>
      <c r="B71" s="168"/>
      <c r="C71" s="74" t="s">
        <v>58</v>
      </c>
      <c r="D71" s="75">
        <v>0</v>
      </c>
      <c r="E71" s="75">
        <v>0</v>
      </c>
      <c r="F71" s="75">
        <v>160</v>
      </c>
      <c r="G71" s="75">
        <v>0</v>
      </c>
      <c r="H71" s="75">
        <v>0</v>
      </c>
      <c r="I71" s="75">
        <v>0</v>
      </c>
      <c r="J71" s="101">
        <v>0</v>
      </c>
      <c r="K71" s="101">
        <v>0</v>
      </c>
      <c r="L71" s="101">
        <v>0</v>
      </c>
      <c r="M71" s="101">
        <v>0</v>
      </c>
    </row>
    <row r="72" spans="1:13" ht="47.25" customHeight="1" thickBot="1">
      <c r="A72" s="181"/>
      <c r="B72" s="168"/>
      <c r="C72" s="74" t="s">
        <v>59</v>
      </c>
      <c r="D72" s="75">
        <v>0</v>
      </c>
      <c r="E72" s="75">
        <v>0</v>
      </c>
      <c r="F72" s="75">
        <v>1840</v>
      </c>
      <c r="G72" s="75">
        <v>0</v>
      </c>
      <c r="H72" s="75">
        <v>0</v>
      </c>
      <c r="I72" s="75">
        <v>0</v>
      </c>
      <c r="J72" s="101">
        <v>0</v>
      </c>
      <c r="K72" s="101">
        <v>0</v>
      </c>
      <c r="L72" s="101">
        <v>0</v>
      </c>
      <c r="M72" s="101">
        <v>0</v>
      </c>
    </row>
    <row r="73" spans="1:13" ht="47.25" customHeight="1" thickBot="1">
      <c r="A73" s="182"/>
      <c r="B73" s="169"/>
      <c r="C73" s="76" t="s">
        <v>60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1">
        <v>0</v>
      </c>
      <c r="K73" s="101">
        <v>0</v>
      </c>
      <c r="L73" s="101">
        <v>0</v>
      </c>
      <c r="M73" s="101">
        <v>0</v>
      </c>
    </row>
    <row r="74" spans="1:13" ht="47.25" customHeight="1" thickBot="1">
      <c r="A74" s="180" t="s">
        <v>14</v>
      </c>
      <c r="B74" s="167" t="s">
        <v>32</v>
      </c>
      <c r="C74" s="74" t="s">
        <v>56</v>
      </c>
      <c r="D74" s="75">
        <f>SUM(D75:D78)</f>
        <v>576.20000000000005</v>
      </c>
      <c r="E74" s="75">
        <f t="shared" ref="E74" si="110">SUM(E75:E78)</f>
        <v>713.7</v>
      </c>
      <c r="F74" s="75">
        <f t="shared" ref="F74" si="111">SUM(F75:F78)</f>
        <v>496.90000000000003</v>
      </c>
      <c r="G74" s="75">
        <f t="shared" ref="G74" si="112">SUM(G75:G78)</f>
        <v>498.9</v>
      </c>
      <c r="H74" s="75">
        <f t="shared" ref="H74" si="113">SUM(H75:H78)</f>
        <v>123.8</v>
      </c>
      <c r="I74" s="75">
        <f t="shared" ref="I74" si="114">SUM(I75:I78)</f>
        <v>488.5</v>
      </c>
      <c r="J74" s="101">
        <f t="shared" ref="J74" si="115">SUM(J75:J78)</f>
        <v>507.50000000000006</v>
      </c>
      <c r="K74" s="101">
        <f t="shared" ref="K74" si="116">SUM(K75:K78)</f>
        <v>539.79999999999995</v>
      </c>
      <c r="L74" s="101">
        <f t="shared" ref="L74" si="117">SUM(L75:L78)</f>
        <v>485.8</v>
      </c>
      <c r="M74" s="101">
        <f t="shared" ref="M74" si="118">SUM(M75:M78)</f>
        <v>485.8</v>
      </c>
    </row>
    <row r="75" spans="1:13" ht="47.25" customHeight="1" thickBot="1">
      <c r="A75" s="181"/>
      <c r="B75" s="168"/>
      <c r="C75" s="74" t="s">
        <v>57</v>
      </c>
      <c r="D75" s="75">
        <v>0</v>
      </c>
      <c r="E75" s="75">
        <v>0</v>
      </c>
      <c r="F75" s="75">
        <v>61.6</v>
      </c>
      <c r="G75" s="75">
        <v>24</v>
      </c>
      <c r="H75" s="75">
        <v>0</v>
      </c>
      <c r="I75" s="75">
        <v>4.8</v>
      </c>
      <c r="J75" s="101">
        <f>3.5+1.3</f>
        <v>4.8</v>
      </c>
      <c r="K75" s="101">
        <f>174.1+3.7</f>
        <v>177.79999999999998</v>
      </c>
      <c r="L75" s="101">
        <f>156.7+3.3</f>
        <v>160</v>
      </c>
      <c r="M75" s="101">
        <f>156.7+3.3</f>
        <v>160</v>
      </c>
    </row>
    <row r="76" spans="1:13" ht="47.25" customHeight="1" thickBot="1">
      <c r="A76" s="181"/>
      <c r="B76" s="168"/>
      <c r="C76" s="74" t="s">
        <v>58</v>
      </c>
      <c r="D76" s="75">
        <v>576.20000000000005</v>
      </c>
      <c r="E76" s="75">
        <v>713.7</v>
      </c>
      <c r="F76" s="75">
        <v>435.3</v>
      </c>
      <c r="G76" s="75">
        <v>474.9</v>
      </c>
      <c r="H76" s="75">
        <v>123.8</v>
      </c>
      <c r="I76" s="75">
        <v>483.7</v>
      </c>
      <c r="J76" s="101">
        <f>490.1+13.6+4.1-5.1</f>
        <v>502.70000000000005</v>
      </c>
      <c r="K76" s="101">
        <v>362</v>
      </c>
      <c r="L76" s="101">
        <v>325.8</v>
      </c>
      <c r="M76" s="101">
        <v>325.8</v>
      </c>
    </row>
    <row r="77" spans="1:13" ht="47.25" customHeight="1" thickBot="1">
      <c r="A77" s="181"/>
      <c r="B77" s="168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 ht="47.25" customHeight="1" thickBot="1">
      <c r="A78" s="182"/>
      <c r="B78" s="169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1">
        <v>0</v>
      </c>
      <c r="K78" s="101">
        <v>0</v>
      </c>
      <c r="L78" s="101">
        <v>0</v>
      </c>
      <c r="M78" s="101">
        <v>0</v>
      </c>
    </row>
    <row r="79" spans="1:13" ht="47.25" customHeight="1" thickBot="1">
      <c r="A79" s="187" t="s">
        <v>14</v>
      </c>
      <c r="B79" s="184" t="s">
        <v>35</v>
      </c>
      <c r="C79" s="74" t="s">
        <v>61</v>
      </c>
      <c r="D79" s="75">
        <f>SUM(D80:D83)</f>
        <v>0</v>
      </c>
      <c r="E79" s="75">
        <f t="shared" ref="E79" si="119">SUM(E80:E83)</f>
        <v>0</v>
      </c>
      <c r="F79" s="75">
        <f t="shared" ref="F79" si="120">SUM(F80:F83)</f>
        <v>0</v>
      </c>
      <c r="G79" s="75">
        <f t="shared" ref="G79" si="121">SUM(G80:G83)</f>
        <v>0</v>
      </c>
      <c r="H79" s="75">
        <f t="shared" ref="H79" si="122">SUM(H80:H83)</f>
        <v>3510.5</v>
      </c>
      <c r="I79" s="75">
        <f t="shared" ref="I79" si="123">SUM(I80:I83)</f>
        <v>0</v>
      </c>
      <c r="J79" s="101">
        <f t="shared" ref="J79" si="124">SUM(J80:J83)</f>
        <v>5356.2</v>
      </c>
      <c r="K79" s="101">
        <f t="shared" ref="K79" si="125">SUM(K80:K83)</f>
        <v>3687.65</v>
      </c>
      <c r="L79" s="101">
        <f t="shared" ref="L79" si="126">SUM(L80:L83)</f>
        <v>0</v>
      </c>
      <c r="M79" s="101">
        <f t="shared" ref="M79" si="127">SUM(M80:M83)</f>
        <v>0</v>
      </c>
    </row>
    <row r="80" spans="1:13" ht="47.25" customHeight="1" thickBot="1">
      <c r="A80" s="188"/>
      <c r="B80" s="185"/>
      <c r="C80" s="74" t="s">
        <v>57</v>
      </c>
      <c r="D80" s="75"/>
      <c r="E80" s="75"/>
      <c r="F80" s="75"/>
      <c r="G80" s="75"/>
      <c r="H80" s="75">
        <v>34.799999999999997</v>
      </c>
      <c r="I80" s="75">
        <v>0</v>
      </c>
      <c r="J80" s="101">
        <f>0.8+0.3+100-20.3</f>
        <v>80.8</v>
      </c>
      <c r="K80" s="101">
        <f>0.6+249.77</f>
        <v>250.37</v>
      </c>
      <c r="L80" s="101">
        <v>0</v>
      </c>
      <c r="M80" s="101">
        <v>0</v>
      </c>
    </row>
    <row r="81" spans="1:13" ht="47.25" customHeight="1" thickBot="1">
      <c r="A81" s="188"/>
      <c r="B81" s="185"/>
      <c r="C81" s="74" t="s">
        <v>58</v>
      </c>
      <c r="D81" s="75"/>
      <c r="E81" s="75"/>
      <c r="F81" s="75"/>
      <c r="G81" s="75"/>
      <c r="H81" s="75">
        <v>69.5</v>
      </c>
      <c r="I81" s="75">
        <v>0</v>
      </c>
      <c r="J81" s="101">
        <f>80.3+25.2</f>
        <v>105.5</v>
      </c>
      <c r="K81" s="101">
        <f>61.9+6.88</f>
        <v>68.78</v>
      </c>
      <c r="L81" s="101">
        <v>0</v>
      </c>
      <c r="M81" s="101">
        <v>0</v>
      </c>
    </row>
    <row r="82" spans="1:13" ht="47.25" customHeight="1" thickBot="1">
      <c r="A82" s="188"/>
      <c r="B82" s="185"/>
      <c r="C82" s="74" t="s">
        <v>59</v>
      </c>
      <c r="D82" s="75"/>
      <c r="E82" s="75"/>
      <c r="F82" s="75"/>
      <c r="G82" s="75"/>
      <c r="H82" s="75">
        <v>3406.2</v>
      </c>
      <c r="I82" s="75">
        <v>0</v>
      </c>
      <c r="J82" s="101">
        <f>3935.2+1234.7</f>
        <v>5169.8999999999996</v>
      </c>
      <c r="K82" s="101">
        <f>3031.5+337</f>
        <v>3368.5</v>
      </c>
      <c r="L82" s="101">
        <v>0</v>
      </c>
      <c r="M82" s="101">
        <v>0</v>
      </c>
    </row>
    <row r="83" spans="1:13" ht="47.25" customHeight="1" thickBot="1">
      <c r="A83" s="189"/>
      <c r="B83" s="186"/>
      <c r="C83" s="76" t="s">
        <v>60</v>
      </c>
      <c r="D83" s="75"/>
      <c r="E83" s="75"/>
      <c r="F83" s="75"/>
      <c r="G83" s="75"/>
      <c r="H83" s="75">
        <v>0</v>
      </c>
      <c r="I83" s="75">
        <v>0</v>
      </c>
      <c r="J83" s="101">
        <v>0</v>
      </c>
      <c r="K83" s="101">
        <v>0</v>
      </c>
      <c r="L83" s="101">
        <v>0</v>
      </c>
      <c r="M83" s="101">
        <v>0</v>
      </c>
    </row>
    <row r="84" spans="1:13" ht="47.25" customHeight="1" thickBot="1">
      <c r="A84" s="187" t="s">
        <v>14</v>
      </c>
      <c r="B84" s="193" t="s">
        <v>37</v>
      </c>
      <c r="C84" s="74" t="s">
        <v>61</v>
      </c>
      <c r="D84" s="75">
        <f>SUM(D85:D88)</f>
        <v>0</v>
      </c>
      <c r="E84" s="75">
        <f t="shared" ref="E84" si="128">SUM(E85:E88)</f>
        <v>0</v>
      </c>
      <c r="F84" s="75">
        <f t="shared" ref="F84" si="129">SUM(F85:F88)</f>
        <v>0</v>
      </c>
      <c r="G84" s="75">
        <f t="shared" ref="G84" si="130">SUM(G85:G88)</f>
        <v>0</v>
      </c>
      <c r="H84" s="75">
        <f t="shared" ref="H84" si="131">SUM(H85:H88)</f>
        <v>0</v>
      </c>
      <c r="I84" s="75">
        <f t="shared" ref="I84" si="132">SUM(I85:I88)</f>
        <v>1955.5</v>
      </c>
      <c r="J84" s="101">
        <f t="shared" ref="J84" si="133">SUM(J85:J88)</f>
        <v>5915.5999999999995</v>
      </c>
      <c r="K84" s="101">
        <f t="shared" ref="K84" si="134">SUM(K85:K88)</f>
        <v>6254.4000000000005</v>
      </c>
      <c r="L84" s="101">
        <f t="shared" ref="L84" si="135">SUM(L85:L88)</f>
        <v>6634</v>
      </c>
      <c r="M84" s="101">
        <f t="shared" ref="M84" si="136">SUM(M85:M88)</f>
        <v>6946.9000000000005</v>
      </c>
    </row>
    <row r="85" spans="1:13" ht="47.25" customHeight="1" thickBot="1">
      <c r="A85" s="188"/>
      <c r="B85" s="194"/>
      <c r="C85" s="74" t="s">
        <v>57</v>
      </c>
      <c r="D85" s="75"/>
      <c r="E85" s="75"/>
      <c r="F85" s="75"/>
      <c r="G85" s="75"/>
      <c r="H85" s="75"/>
      <c r="I85" s="75">
        <v>1955.5</v>
      </c>
      <c r="J85" s="101">
        <f>6173.2-257.6</f>
        <v>5915.5999999999995</v>
      </c>
      <c r="K85" s="101">
        <v>6254.4000000000005</v>
      </c>
      <c r="L85" s="101">
        <v>6634</v>
      </c>
      <c r="M85" s="101">
        <v>6946.9000000000005</v>
      </c>
    </row>
    <row r="86" spans="1:13" ht="47.25" customHeight="1" thickBot="1">
      <c r="A86" s="188"/>
      <c r="B86" s="194"/>
      <c r="C86" s="74" t="s">
        <v>58</v>
      </c>
      <c r="D86" s="75"/>
      <c r="E86" s="75"/>
      <c r="F86" s="75"/>
      <c r="G86" s="75"/>
      <c r="H86" s="75"/>
      <c r="I86" s="75">
        <v>0</v>
      </c>
      <c r="J86" s="101">
        <v>0</v>
      </c>
      <c r="K86" s="101">
        <v>0</v>
      </c>
      <c r="L86" s="101">
        <v>0</v>
      </c>
      <c r="M86" s="101">
        <v>0</v>
      </c>
    </row>
    <row r="87" spans="1:13" ht="47.25" customHeight="1" thickBot="1">
      <c r="A87" s="188"/>
      <c r="B87" s="194"/>
      <c r="C87" s="74" t="s">
        <v>59</v>
      </c>
      <c r="D87" s="75"/>
      <c r="E87" s="75"/>
      <c r="F87" s="75"/>
      <c r="G87" s="75"/>
      <c r="H87" s="75"/>
      <c r="I87" s="75">
        <v>0</v>
      </c>
      <c r="J87" s="101">
        <v>0</v>
      </c>
      <c r="K87" s="101">
        <v>0</v>
      </c>
      <c r="L87" s="101">
        <v>0</v>
      </c>
      <c r="M87" s="101">
        <v>0</v>
      </c>
    </row>
    <row r="88" spans="1:13" ht="47.25" customHeight="1" thickBot="1">
      <c r="A88" s="189"/>
      <c r="B88" s="195"/>
      <c r="C88" s="76" t="s">
        <v>60</v>
      </c>
      <c r="D88" s="75"/>
      <c r="E88" s="75"/>
      <c r="F88" s="75"/>
      <c r="G88" s="75"/>
      <c r="H88" s="75"/>
      <c r="I88" s="75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 ht="47.25" customHeight="1" thickBot="1">
      <c r="A89" s="187" t="s">
        <v>14</v>
      </c>
      <c r="B89" s="193" t="s">
        <v>169</v>
      </c>
      <c r="C89" s="74" t="s">
        <v>61</v>
      </c>
      <c r="D89" s="75">
        <f>SUM(D90:D93)</f>
        <v>0</v>
      </c>
      <c r="E89" s="75">
        <f t="shared" ref="E89:M89" si="137">SUM(E90:E93)</f>
        <v>0</v>
      </c>
      <c r="F89" s="75">
        <f t="shared" si="137"/>
        <v>0</v>
      </c>
      <c r="G89" s="75">
        <f t="shared" si="137"/>
        <v>0</v>
      </c>
      <c r="H89" s="75">
        <f t="shared" si="137"/>
        <v>0</v>
      </c>
      <c r="I89" s="75">
        <f t="shared" si="137"/>
        <v>0</v>
      </c>
      <c r="J89" s="101">
        <f t="shared" si="137"/>
        <v>1569</v>
      </c>
      <c r="K89" s="101">
        <f t="shared" si="137"/>
        <v>2195.56</v>
      </c>
      <c r="L89" s="101">
        <f t="shared" si="137"/>
        <v>0</v>
      </c>
      <c r="M89" s="101">
        <f t="shared" si="137"/>
        <v>0</v>
      </c>
    </row>
    <row r="90" spans="1:13" ht="47.25" customHeight="1" thickBot="1">
      <c r="A90" s="188"/>
      <c r="B90" s="194"/>
      <c r="C90" s="74" t="s">
        <v>57</v>
      </c>
      <c r="D90" s="75"/>
      <c r="E90" s="75"/>
      <c r="F90" s="75"/>
      <c r="G90" s="75"/>
      <c r="H90" s="75"/>
      <c r="I90" s="75">
        <v>0</v>
      </c>
      <c r="J90" s="101">
        <v>0.3</v>
      </c>
      <c r="K90" s="101">
        <v>0.44</v>
      </c>
      <c r="L90" s="101">
        <v>0</v>
      </c>
      <c r="M90" s="101">
        <v>0</v>
      </c>
    </row>
    <row r="91" spans="1:13" ht="47.25" customHeight="1" thickBot="1">
      <c r="A91" s="188"/>
      <c r="B91" s="194"/>
      <c r="C91" s="74" t="s">
        <v>58</v>
      </c>
      <c r="D91" s="75"/>
      <c r="E91" s="75"/>
      <c r="F91" s="75"/>
      <c r="G91" s="75"/>
      <c r="H91" s="75"/>
      <c r="I91" s="75">
        <v>0</v>
      </c>
      <c r="J91" s="101">
        <v>31.4</v>
      </c>
      <c r="K91" s="101">
        <v>43.9</v>
      </c>
      <c r="L91" s="101">
        <v>0</v>
      </c>
      <c r="M91" s="101">
        <v>0</v>
      </c>
    </row>
    <row r="92" spans="1:13" ht="33.75" customHeight="1" thickBot="1">
      <c r="A92" s="188"/>
      <c r="B92" s="194"/>
      <c r="C92" s="74" t="s">
        <v>59</v>
      </c>
      <c r="D92" s="75"/>
      <c r="E92" s="75"/>
      <c r="F92" s="75"/>
      <c r="G92" s="75"/>
      <c r="H92" s="75"/>
      <c r="I92" s="75">
        <v>0</v>
      </c>
      <c r="J92" s="101">
        <v>1537.3</v>
      </c>
      <c r="K92" s="101">
        <v>2151.2199999999998</v>
      </c>
      <c r="L92" s="101">
        <v>0</v>
      </c>
      <c r="M92" s="101">
        <v>0</v>
      </c>
    </row>
    <row r="93" spans="1:13" ht="34.5" customHeight="1" thickBot="1">
      <c r="A93" s="189"/>
      <c r="B93" s="195"/>
      <c r="C93" s="76" t="s">
        <v>60</v>
      </c>
      <c r="D93" s="75"/>
      <c r="E93" s="75"/>
      <c r="F93" s="75"/>
      <c r="G93" s="75"/>
      <c r="H93" s="75"/>
      <c r="I93" s="75">
        <v>0</v>
      </c>
      <c r="J93" s="101">
        <v>0</v>
      </c>
      <c r="K93" s="101">
        <v>0</v>
      </c>
      <c r="L93" s="101">
        <v>0</v>
      </c>
      <c r="M93" s="101">
        <v>0</v>
      </c>
    </row>
    <row r="94" spans="1:13" ht="47.25" customHeight="1" thickBot="1">
      <c r="A94" s="187" t="s">
        <v>14</v>
      </c>
      <c r="B94" s="193" t="s">
        <v>171</v>
      </c>
      <c r="C94" s="74" t="s">
        <v>61</v>
      </c>
      <c r="D94" s="75">
        <f>SUM(D95:D98)</f>
        <v>0</v>
      </c>
      <c r="E94" s="75">
        <f t="shared" ref="E94:M94" si="138">SUM(E95:E98)</f>
        <v>0</v>
      </c>
      <c r="F94" s="75">
        <f t="shared" si="138"/>
        <v>0</v>
      </c>
      <c r="G94" s="75">
        <f t="shared" si="138"/>
        <v>0</v>
      </c>
      <c r="H94" s="75">
        <f t="shared" si="138"/>
        <v>0</v>
      </c>
      <c r="I94" s="75">
        <f t="shared" si="138"/>
        <v>0</v>
      </c>
      <c r="J94" s="101">
        <f t="shared" si="138"/>
        <v>2857.2000000000003</v>
      </c>
      <c r="K94" s="101">
        <f t="shared" si="138"/>
        <v>9592.5199999999986</v>
      </c>
      <c r="L94" s="101">
        <f t="shared" si="138"/>
        <v>0</v>
      </c>
      <c r="M94" s="101">
        <f t="shared" si="138"/>
        <v>0</v>
      </c>
    </row>
    <row r="95" spans="1:13" ht="47.25" customHeight="1" thickBot="1">
      <c r="A95" s="188"/>
      <c r="B95" s="194"/>
      <c r="C95" s="74" t="s">
        <v>57</v>
      </c>
      <c r="D95" s="75"/>
      <c r="E95" s="75"/>
      <c r="F95" s="75"/>
      <c r="G95" s="75"/>
      <c r="H95" s="75"/>
      <c r="I95" s="75">
        <v>0</v>
      </c>
      <c r="J95" s="101">
        <v>0.6</v>
      </c>
      <c r="K95" s="101">
        <v>1.9</v>
      </c>
      <c r="L95" s="101">
        <v>0</v>
      </c>
      <c r="M95" s="101">
        <v>0</v>
      </c>
    </row>
    <row r="96" spans="1:13" ht="47.25" customHeight="1" thickBot="1">
      <c r="A96" s="188"/>
      <c r="B96" s="194"/>
      <c r="C96" s="74" t="s">
        <v>58</v>
      </c>
      <c r="D96" s="75"/>
      <c r="E96" s="75"/>
      <c r="F96" s="75"/>
      <c r="G96" s="75"/>
      <c r="H96" s="75"/>
      <c r="I96" s="75">
        <v>0</v>
      </c>
      <c r="J96" s="101">
        <f>58.3-1.1</f>
        <v>57.199999999999996</v>
      </c>
      <c r="K96" s="101">
        <v>191.81</v>
      </c>
      <c r="L96" s="101">
        <v>0</v>
      </c>
      <c r="M96" s="101">
        <v>0</v>
      </c>
    </row>
    <row r="97" spans="1:15" ht="47.25" customHeight="1" thickBot="1">
      <c r="A97" s="188"/>
      <c r="B97" s="194"/>
      <c r="C97" s="74" t="s">
        <v>59</v>
      </c>
      <c r="D97" s="75"/>
      <c r="E97" s="75"/>
      <c r="F97" s="75"/>
      <c r="G97" s="75"/>
      <c r="H97" s="75"/>
      <c r="I97" s="75">
        <v>0</v>
      </c>
      <c r="J97" s="101">
        <f>2855.3-55.9</f>
        <v>2799.4</v>
      </c>
      <c r="K97" s="101">
        <v>9398.81</v>
      </c>
      <c r="L97" s="101">
        <v>0</v>
      </c>
      <c r="M97" s="101">
        <v>0</v>
      </c>
    </row>
    <row r="98" spans="1:15" ht="47.25" customHeight="1" thickBot="1">
      <c r="A98" s="189"/>
      <c r="B98" s="195"/>
      <c r="C98" s="76" t="s">
        <v>60</v>
      </c>
      <c r="D98" s="75"/>
      <c r="E98" s="75"/>
      <c r="F98" s="75"/>
      <c r="G98" s="75"/>
      <c r="H98" s="75"/>
      <c r="I98" s="75">
        <v>0</v>
      </c>
      <c r="J98" s="101">
        <v>0</v>
      </c>
      <c r="K98" s="101">
        <v>0</v>
      </c>
      <c r="L98" s="101">
        <v>0</v>
      </c>
      <c r="M98" s="101">
        <v>0</v>
      </c>
    </row>
    <row r="99" spans="1:15" ht="47.25" customHeight="1" thickBot="1">
      <c r="A99" s="184" t="s">
        <v>14</v>
      </c>
      <c r="B99" s="193" t="s">
        <v>210</v>
      </c>
      <c r="C99" s="74" t="s">
        <v>56</v>
      </c>
      <c r="D99" s="75"/>
      <c r="E99" s="75"/>
      <c r="F99" s="75"/>
      <c r="G99" s="75"/>
      <c r="H99" s="75"/>
      <c r="I99" s="75"/>
      <c r="J99" s="101"/>
      <c r="K99" s="101">
        <f>K100+K101+K102+K103</f>
        <v>102527.95000000001</v>
      </c>
      <c r="L99" s="101"/>
      <c r="M99" s="101"/>
    </row>
    <row r="100" spans="1:15" ht="47.25" customHeight="1" thickBot="1">
      <c r="A100" s="185"/>
      <c r="B100" s="194"/>
      <c r="C100" s="74" t="s">
        <v>57</v>
      </c>
      <c r="D100" s="75"/>
      <c r="E100" s="75"/>
      <c r="F100" s="75"/>
      <c r="G100" s="75"/>
      <c r="H100" s="75"/>
      <c r="I100" s="75"/>
      <c r="J100" s="101"/>
      <c r="K100" s="101">
        <f>10.3+66.55</f>
        <v>76.849999999999994</v>
      </c>
      <c r="L100" s="101"/>
      <c r="M100" s="101"/>
    </row>
    <row r="101" spans="1:15" ht="47.25" customHeight="1" thickBot="1">
      <c r="A101" s="185"/>
      <c r="B101" s="194"/>
      <c r="C101" s="74" t="s">
        <v>58</v>
      </c>
      <c r="D101" s="75"/>
      <c r="E101" s="75"/>
      <c r="F101" s="75"/>
      <c r="G101" s="75"/>
      <c r="H101" s="75"/>
      <c r="I101" s="75"/>
      <c r="J101" s="101"/>
      <c r="K101" s="101">
        <v>1024.5</v>
      </c>
      <c r="L101" s="101"/>
      <c r="M101" s="101"/>
    </row>
    <row r="102" spans="1:15" ht="47.25" customHeight="1" thickBot="1">
      <c r="A102" s="185"/>
      <c r="B102" s="194"/>
      <c r="C102" s="74" t="s">
        <v>59</v>
      </c>
      <c r="D102" s="75"/>
      <c r="E102" s="75"/>
      <c r="F102" s="75"/>
      <c r="G102" s="75"/>
      <c r="H102" s="75"/>
      <c r="I102" s="75"/>
      <c r="J102" s="101"/>
      <c r="K102" s="101">
        <v>101426.6</v>
      </c>
      <c r="L102" s="101"/>
      <c r="M102" s="101"/>
    </row>
    <row r="103" spans="1:15" ht="47.25" customHeight="1" thickBot="1">
      <c r="A103" s="186"/>
      <c r="B103" s="195"/>
      <c r="C103" s="76" t="s">
        <v>60</v>
      </c>
      <c r="D103" s="75"/>
      <c r="E103" s="75"/>
      <c r="F103" s="75"/>
      <c r="G103" s="75"/>
      <c r="H103" s="75"/>
      <c r="I103" s="75"/>
      <c r="J103" s="101"/>
      <c r="K103" s="101">
        <v>0</v>
      </c>
      <c r="L103" s="101"/>
      <c r="M103" s="101"/>
    </row>
    <row r="104" spans="1:15" ht="47.25" customHeight="1" thickBot="1">
      <c r="A104" s="180" t="s">
        <v>12</v>
      </c>
      <c r="B104" s="167" t="s">
        <v>38</v>
      </c>
      <c r="C104" s="74" t="s">
        <v>56</v>
      </c>
      <c r="D104" s="75">
        <f>D109+D114</f>
        <v>4844.7</v>
      </c>
      <c r="E104" s="75">
        <f t="shared" ref="E104:L104" si="139">E109+E114</f>
        <v>8004.3</v>
      </c>
      <c r="F104" s="75">
        <f t="shared" si="139"/>
        <v>5748.1</v>
      </c>
      <c r="G104" s="75">
        <f t="shared" si="139"/>
        <v>5</v>
      </c>
      <c r="H104" s="75">
        <f t="shared" si="139"/>
        <v>5</v>
      </c>
      <c r="I104" s="75">
        <f t="shared" si="139"/>
        <v>0</v>
      </c>
      <c r="J104" s="101">
        <f t="shared" si="139"/>
        <v>0</v>
      </c>
      <c r="K104" s="101">
        <f t="shared" si="139"/>
        <v>0</v>
      </c>
      <c r="L104" s="101">
        <f t="shared" si="139"/>
        <v>0</v>
      </c>
      <c r="M104" s="101">
        <f>M109+M114</f>
        <v>0</v>
      </c>
      <c r="O104" s="37">
        <f t="shared" ref="O104:O108" si="140">SUM(D104:M104)</f>
        <v>18607.099999999999</v>
      </c>
    </row>
    <row r="105" spans="1:15" ht="47.25" customHeight="1" thickBot="1">
      <c r="A105" s="181"/>
      <c r="B105" s="168"/>
      <c r="C105" s="74" t="s">
        <v>57</v>
      </c>
      <c r="D105" s="75">
        <f>D110+D115</f>
        <v>127.2</v>
      </c>
      <c r="E105" s="75">
        <f t="shared" ref="E105:L105" si="141">E110+E115</f>
        <v>5</v>
      </c>
      <c r="F105" s="75">
        <f t="shared" si="141"/>
        <v>5</v>
      </c>
      <c r="G105" s="75">
        <f t="shared" si="141"/>
        <v>5</v>
      </c>
      <c r="H105" s="75">
        <f t="shared" si="141"/>
        <v>5</v>
      </c>
      <c r="I105" s="75">
        <f t="shared" si="141"/>
        <v>0</v>
      </c>
      <c r="J105" s="101">
        <f t="shared" si="141"/>
        <v>0</v>
      </c>
      <c r="K105" s="101">
        <f t="shared" si="141"/>
        <v>0</v>
      </c>
      <c r="L105" s="101">
        <f t="shared" si="141"/>
        <v>0</v>
      </c>
      <c r="M105" s="101">
        <v>0</v>
      </c>
      <c r="O105" s="37">
        <f t="shared" si="140"/>
        <v>147.19999999999999</v>
      </c>
    </row>
    <row r="106" spans="1:15" ht="47.25" customHeight="1" thickBot="1">
      <c r="A106" s="181"/>
      <c r="B106" s="168"/>
      <c r="C106" s="74" t="s">
        <v>58</v>
      </c>
      <c r="D106" s="75">
        <f>D111+D116</f>
        <v>2694</v>
      </c>
      <c r="E106" s="75">
        <f t="shared" ref="E106:M106" si="142">E111+E116</f>
        <v>4487.6000000000004</v>
      </c>
      <c r="F106" s="75">
        <f t="shared" si="142"/>
        <v>3319.5</v>
      </c>
      <c r="G106" s="75">
        <f t="shared" si="142"/>
        <v>0</v>
      </c>
      <c r="H106" s="75">
        <f t="shared" si="142"/>
        <v>0</v>
      </c>
      <c r="I106" s="75">
        <f t="shared" si="142"/>
        <v>0</v>
      </c>
      <c r="J106" s="101">
        <f t="shared" si="142"/>
        <v>0</v>
      </c>
      <c r="K106" s="101">
        <f t="shared" si="142"/>
        <v>0</v>
      </c>
      <c r="L106" s="101">
        <f t="shared" si="142"/>
        <v>0</v>
      </c>
      <c r="M106" s="101">
        <f t="shared" si="142"/>
        <v>0</v>
      </c>
      <c r="O106" s="37">
        <f t="shared" si="140"/>
        <v>10501.1</v>
      </c>
    </row>
    <row r="107" spans="1:15" ht="47.25" customHeight="1" thickBot="1">
      <c r="A107" s="181"/>
      <c r="B107" s="168"/>
      <c r="C107" s="74" t="s">
        <v>59</v>
      </c>
      <c r="D107" s="75">
        <f>D112+D117</f>
        <v>2023.5</v>
      </c>
      <c r="E107" s="75">
        <f t="shared" ref="E107:M107" si="143">E112+E117</f>
        <v>3511.7</v>
      </c>
      <c r="F107" s="75">
        <f t="shared" si="143"/>
        <v>2423.6</v>
      </c>
      <c r="G107" s="75">
        <f t="shared" si="143"/>
        <v>0</v>
      </c>
      <c r="H107" s="75">
        <f t="shared" si="143"/>
        <v>0</v>
      </c>
      <c r="I107" s="75">
        <f t="shared" si="143"/>
        <v>0</v>
      </c>
      <c r="J107" s="101">
        <f t="shared" si="143"/>
        <v>0</v>
      </c>
      <c r="K107" s="101">
        <f t="shared" si="143"/>
        <v>0</v>
      </c>
      <c r="L107" s="101">
        <f t="shared" si="143"/>
        <v>0</v>
      </c>
      <c r="M107" s="101">
        <f t="shared" si="143"/>
        <v>0</v>
      </c>
      <c r="O107" s="37">
        <f t="shared" si="140"/>
        <v>7958.7999999999993</v>
      </c>
    </row>
    <row r="108" spans="1:15" ht="47.25" customHeight="1" thickBot="1">
      <c r="A108" s="182"/>
      <c r="B108" s="169"/>
      <c r="C108" s="76" t="s">
        <v>60</v>
      </c>
      <c r="D108" s="75">
        <f>D113+D118</f>
        <v>0</v>
      </c>
      <c r="E108" s="75">
        <f t="shared" ref="E108:M108" si="144">E113+E118</f>
        <v>0</v>
      </c>
      <c r="F108" s="75">
        <f t="shared" si="144"/>
        <v>0</v>
      </c>
      <c r="G108" s="75">
        <f t="shared" si="144"/>
        <v>0</v>
      </c>
      <c r="H108" s="75">
        <f t="shared" si="144"/>
        <v>0</v>
      </c>
      <c r="I108" s="75">
        <f t="shared" si="144"/>
        <v>0</v>
      </c>
      <c r="J108" s="101">
        <f t="shared" si="144"/>
        <v>0</v>
      </c>
      <c r="K108" s="101">
        <f t="shared" si="144"/>
        <v>0</v>
      </c>
      <c r="L108" s="101">
        <f t="shared" si="144"/>
        <v>0</v>
      </c>
      <c r="M108" s="101">
        <f t="shared" si="144"/>
        <v>0</v>
      </c>
      <c r="O108" s="37">
        <f t="shared" si="140"/>
        <v>0</v>
      </c>
    </row>
    <row r="109" spans="1:15" ht="47.25" customHeight="1" thickBot="1">
      <c r="A109" s="180" t="s">
        <v>14</v>
      </c>
      <c r="B109" s="190" t="s">
        <v>39</v>
      </c>
      <c r="C109" s="74" t="s">
        <v>56</v>
      </c>
      <c r="D109" s="75">
        <f>SUM(D110:D113)</f>
        <v>10</v>
      </c>
      <c r="E109" s="75">
        <f t="shared" ref="E109" si="145">SUM(E110:E113)</f>
        <v>5</v>
      </c>
      <c r="F109" s="75">
        <f t="shared" ref="F109" si="146">SUM(F110:F113)</f>
        <v>5</v>
      </c>
      <c r="G109" s="75">
        <f t="shared" ref="G109" si="147">SUM(G110:G113)</f>
        <v>5</v>
      </c>
      <c r="H109" s="75">
        <f t="shared" ref="H109" si="148">SUM(H110:H113)</f>
        <v>5</v>
      </c>
      <c r="I109" s="75">
        <f t="shared" ref="I109" si="149">SUM(I110:I113)</f>
        <v>0</v>
      </c>
      <c r="J109" s="101">
        <f t="shared" ref="J109" si="150">SUM(J110:J113)</f>
        <v>0</v>
      </c>
      <c r="K109" s="101">
        <f t="shared" ref="K109" si="151">SUM(K110:K113)</f>
        <v>0</v>
      </c>
      <c r="L109" s="101">
        <f t="shared" ref="L109" si="152">SUM(L110:L113)</f>
        <v>0</v>
      </c>
      <c r="M109" s="101">
        <f t="shared" ref="M109" si="153">SUM(M110:M113)</f>
        <v>0</v>
      </c>
    </row>
    <row r="110" spans="1:15" ht="47.25" customHeight="1" thickBot="1">
      <c r="A110" s="181"/>
      <c r="B110" s="191"/>
      <c r="C110" s="74" t="s">
        <v>57</v>
      </c>
      <c r="D110" s="75">
        <v>10</v>
      </c>
      <c r="E110" s="75">
        <v>5</v>
      </c>
      <c r="F110" s="75">
        <v>5</v>
      </c>
      <c r="G110" s="75">
        <v>5</v>
      </c>
      <c r="H110" s="75">
        <v>5</v>
      </c>
      <c r="I110" s="75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5" ht="47.25" customHeight="1" thickBot="1">
      <c r="A111" s="181"/>
      <c r="B111" s="191"/>
      <c r="C111" s="74" t="s">
        <v>58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101">
        <v>0</v>
      </c>
      <c r="K111" s="101">
        <v>0</v>
      </c>
      <c r="L111" s="101">
        <v>0</v>
      </c>
      <c r="M111" s="101">
        <v>0</v>
      </c>
    </row>
    <row r="112" spans="1:15" ht="47.25" customHeight="1" thickBot="1">
      <c r="A112" s="181"/>
      <c r="B112" s="191"/>
      <c r="C112" s="74" t="s">
        <v>59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1">
        <v>0</v>
      </c>
      <c r="K112" s="101">
        <v>0</v>
      </c>
      <c r="L112" s="101">
        <v>0</v>
      </c>
      <c r="M112" s="101">
        <v>0</v>
      </c>
    </row>
    <row r="113" spans="1:15" ht="47.25" customHeight="1" thickBot="1">
      <c r="A113" s="182"/>
      <c r="B113" s="192"/>
      <c r="C113" s="76" t="s">
        <v>60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1">
        <v>0</v>
      </c>
      <c r="K113" s="101">
        <v>0</v>
      </c>
      <c r="L113" s="101">
        <v>0</v>
      </c>
      <c r="M113" s="101">
        <v>0</v>
      </c>
    </row>
    <row r="114" spans="1:15" ht="47.25" customHeight="1" thickBot="1">
      <c r="A114" s="180" t="s">
        <v>14</v>
      </c>
      <c r="B114" s="167" t="s">
        <v>40</v>
      </c>
      <c r="C114" s="74" t="s">
        <v>56</v>
      </c>
      <c r="D114" s="75">
        <f>SUM(D115:D118)</f>
        <v>4834.7</v>
      </c>
      <c r="E114" s="75">
        <f t="shared" ref="E114" si="154">SUM(E115:E118)</f>
        <v>7999.3</v>
      </c>
      <c r="F114" s="75">
        <f t="shared" ref="F114" si="155">SUM(F115:F118)</f>
        <v>5743.1</v>
      </c>
      <c r="G114" s="75">
        <f t="shared" ref="G114" si="156">SUM(G115:G118)</f>
        <v>0</v>
      </c>
      <c r="H114" s="75">
        <f t="shared" ref="H114" si="157">SUM(H115:H118)</f>
        <v>0</v>
      </c>
      <c r="I114" s="75">
        <f t="shared" ref="I114" si="158">SUM(I115:I118)</f>
        <v>0</v>
      </c>
      <c r="J114" s="101">
        <f t="shared" ref="J114" si="159">SUM(J115:J118)</f>
        <v>0</v>
      </c>
      <c r="K114" s="101">
        <f t="shared" ref="K114" si="160">SUM(K115:K118)</f>
        <v>0</v>
      </c>
      <c r="L114" s="101">
        <f t="shared" ref="L114" si="161">SUM(L115:L118)</f>
        <v>0</v>
      </c>
      <c r="M114" s="101">
        <f t="shared" ref="M114" si="162">SUM(M115:M118)</f>
        <v>0</v>
      </c>
    </row>
    <row r="115" spans="1:15" ht="47.25" customHeight="1" thickBot="1">
      <c r="A115" s="181"/>
      <c r="B115" s="168"/>
      <c r="C115" s="74" t="s">
        <v>57</v>
      </c>
      <c r="D115" s="75">
        <v>117.2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1">
        <v>0</v>
      </c>
      <c r="K115" s="101">
        <v>0</v>
      </c>
      <c r="L115" s="101">
        <v>0</v>
      </c>
      <c r="M115" s="101">
        <v>0</v>
      </c>
    </row>
    <row r="116" spans="1:15" ht="47.25" customHeight="1" thickBot="1">
      <c r="A116" s="181"/>
      <c r="B116" s="168"/>
      <c r="C116" s="74" t="s">
        <v>58</v>
      </c>
      <c r="D116" s="75">
        <v>2694</v>
      </c>
      <c r="E116" s="75">
        <v>4487.6000000000004</v>
      </c>
      <c r="F116" s="75">
        <v>3319.5</v>
      </c>
      <c r="G116" s="75">
        <v>0</v>
      </c>
      <c r="H116" s="75">
        <v>0</v>
      </c>
      <c r="I116" s="75">
        <v>0</v>
      </c>
      <c r="J116" s="101">
        <v>0</v>
      </c>
      <c r="K116" s="101">
        <v>0</v>
      </c>
      <c r="L116" s="101">
        <v>0</v>
      </c>
      <c r="M116" s="101">
        <v>0</v>
      </c>
    </row>
    <row r="117" spans="1:15" ht="47.25" customHeight="1" thickBot="1">
      <c r="A117" s="181"/>
      <c r="B117" s="168"/>
      <c r="C117" s="74" t="s">
        <v>59</v>
      </c>
      <c r="D117" s="75">
        <v>2023.5</v>
      </c>
      <c r="E117" s="75">
        <v>3511.7</v>
      </c>
      <c r="F117" s="75">
        <v>2423.6</v>
      </c>
      <c r="G117" s="75">
        <v>0</v>
      </c>
      <c r="H117" s="75">
        <v>0</v>
      </c>
      <c r="I117" s="75">
        <v>0</v>
      </c>
      <c r="J117" s="101">
        <v>0</v>
      </c>
      <c r="K117" s="101">
        <v>0</v>
      </c>
      <c r="L117" s="101">
        <v>0</v>
      </c>
      <c r="M117" s="101">
        <v>0</v>
      </c>
    </row>
    <row r="118" spans="1:15" ht="47.25" customHeight="1" thickBot="1">
      <c r="A118" s="182"/>
      <c r="B118" s="169"/>
      <c r="C118" s="76" t="s">
        <v>60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101">
        <v>0</v>
      </c>
      <c r="K118" s="101">
        <v>0</v>
      </c>
      <c r="L118" s="101">
        <v>0</v>
      </c>
      <c r="M118" s="101">
        <v>0</v>
      </c>
      <c r="O118" s="71"/>
    </row>
    <row r="119" spans="1:15" ht="47.25" customHeight="1" thickBot="1">
      <c r="A119" s="180" t="s">
        <v>12</v>
      </c>
      <c r="B119" s="170" t="s">
        <v>64</v>
      </c>
      <c r="C119" s="74" t="s">
        <v>56</v>
      </c>
      <c r="D119" s="75">
        <f>D124+D129</f>
        <v>11707.9</v>
      </c>
      <c r="E119" s="75">
        <f t="shared" ref="E119:M123" si="163">E124+E129</f>
        <v>12514.6</v>
      </c>
      <c r="F119" s="75">
        <f t="shared" si="163"/>
        <v>14698.9</v>
      </c>
      <c r="G119" s="75">
        <f t="shared" si="163"/>
        <v>11627.300000000001</v>
      </c>
      <c r="H119" s="75">
        <f t="shared" si="163"/>
        <v>12648.5</v>
      </c>
      <c r="I119" s="75">
        <f t="shared" si="163"/>
        <v>12806.2</v>
      </c>
      <c r="J119" s="101">
        <f t="shared" si="163"/>
        <v>14320.14</v>
      </c>
      <c r="K119" s="101">
        <f t="shared" si="163"/>
        <v>18204.640000000003</v>
      </c>
      <c r="L119" s="101">
        <f t="shared" si="163"/>
        <v>16100.200000000003</v>
      </c>
      <c r="M119" s="101">
        <f t="shared" si="163"/>
        <v>17097.399999999998</v>
      </c>
      <c r="O119" s="80">
        <f>SUM(D119:M119)</f>
        <v>141725.78</v>
      </c>
    </row>
    <row r="120" spans="1:15" ht="47.25" customHeight="1" thickBot="1">
      <c r="A120" s="181"/>
      <c r="B120" s="171"/>
      <c r="C120" s="74" t="s">
        <v>57</v>
      </c>
      <c r="D120" s="75">
        <f>D125+D130</f>
        <v>11433.9</v>
      </c>
      <c r="E120" s="75">
        <f t="shared" si="163"/>
        <v>12240.6</v>
      </c>
      <c r="F120" s="75">
        <f t="shared" si="163"/>
        <v>14424.9</v>
      </c>
      <c r="G120" s="75">
        <f t="shared" si="163"/>
        <v>11299.7</v>
      </c>
      <c r="H120" s="75">
        <f t="shared" si="163"/>
        <v>12258</v>
      </c>
      <c r="I120" s="75">
        <f t="shared" si="163"/>
        <v>12453.2</v>
      </c>
      <c r="J120" s="101">
        <f t="shared" si="163"/>
        <v>13834.14</v>
      </c>
      <c r="K120" s="101">
        <f t="shared" ref="K120:M120" si="164">K125+K130</f>
        <v>17872.640000000003</v>
      </c>
      <c r="L120" s="101">
        <f t="shared" si="164"/>
        <v>16100.200000000003</v>
      </c>
      <c r="M120" s="101">
        <f t="shared" si="164"/>
        <v>17097.399999999998</v>
      </c>
      <c r="O120" s="80">
        <f t="shared" ref="O120:O123" si="165">SUM(D120:M120)</f>
        <v>139014.68</v>
      </c>
    </row>
    <row r="121" spans="1:15" ht="47.25" customHeight="1" thickBot="1">
      <c r="A121" s="181"/>
      <c r="B121" s="171"/>
      <c r="C121" s="74" t="s">
        <v>58</v>
      </c>
      <c r="D121" s="75">
        <f>D126+D131</f>
        <v>274</v>
      </c>
      <c r="E121" s="75">
        <f t="shared" si="163"/>
        <v>274</v>
      </c>
      <c r="F121" s="75">
        <f t="shared" si="163"/>
        <v>274</v>
      </c>
      <c r="G121" s="75">
        <f t="shared" si="163"/>
        <v>301.39999999999998</v>
      </c>
      <c r="H121" s="75">
        <f t="shared" si="163"/>
        <v>378</v>
      </c>
      <c r="I121" s="75">
        <f t="shared" si="163"/>
        <v>353</v>
      </c>
      <c r="J121" s="101">
        <f t="shared" si="163"/>
        <v>486</v>
      </c>
      <c r="K121" s="101">
        <f t="shared" ref="K121:M121" si="166">K126+K131</f>
        <v>332</v>
      </c>
      <c r="L121" s="101">
        <f t="shared" si="166"/>
        <v>0</v>
      </c>
      <c r="M121" s="101">
        <f t="shared" si="166"/>
        <v>0</v>
      </c>
      <c r="O121" s="37">
        <f t="shared" si="165"/>
        <v>2672.4</v>
      </c>
    </row>
    <row r="122" spans="1:15" ht="47.25" customHeight="1" thickBot="1">
      <c r="A122" s="181"/>
      <c r="B122" s="171"/>
      <c r="C122" s="74" t="s">
        <v>59</v>
      </c>
      <c r="D122" s="75">
        <f>D127+D132</f>
        <v>0</v>
      </c>
      <c r="E122" s="75">
        <f t="shared" si="163"/>
        <v>0</v>
      </c>
      <c r="F122" s="75">
        <f t="shared" si="163"/>
        <v>0</v>
      </c>
      <c r="G122" s="75">
        <f t="shared" si="163"/>
        <v>26.2</v>
      </c>
      <c r="H122" s="75">
        <f t="shared" si="163"/>
        <v>12.5</v>
      </c>
      <c r="I122" s="75">
        <f t="shared" si="163"/>
        <v>0</v>
      </c>
      <c r="J122" s="101">
        <f t="shared" si="163"/>
        <v>0</v>
      </c>
      <c r="K122" s="101">
        <f t="shared" ref="K122:M122" si="167">K127+K132</f>
        <v>0</v>
      </c>
      <c r="L122" s="101">
        <f t="shared" si="167"/>
        <v>0</v>
      </c>
      <c r="M122" s="101">
        <f t="shared" si="167"/>
        <v>0</v>
      </c>
      <c r="O122" s="37">
        <f t="shared" si="165"/>
        <v>38.700000000000003</v>
      </c>
    </row>
    <row r="123" spans="1:15" ht="47.25" customHeight="1" thickBot="1">
      <c r="A123" s="182"/>
      <c r="B123" s="172"/>
      <c r="C123" s="76" t="s">
        <v>60</v>
      </c>
      <c r="D123" s="75">
        <f>D128+D133</f>
        <v>0</v>
      </c>
      <c r="E123" s="75">
        <f t="shared" si="163"/>
        <v>0</v>
      </c>
      <c r="F123" s="75">
        <f t="shared" si="163"/>
        <v>0</v>
      </c>
      <c r="G123" s="75">
        <f t="shared" si="163"/>
        <v>0</v>
      </c>
      <c r="H123" s="75">
        <f t="shared" si="163"/>
        <v>0</v>
      </c>
      <c r="I123" s="75">
        <f t="shared" si="163"/>
        <v>0</v>
      </c>
      <c r="J123" s="101">
        <f t="shared" si="163"/>
        <v>0</v>
      </c>
      <c r="K123" s="101">
        <f t="shared" si="163"/>
        <v>0</v>
      </c>
      <c r="L123" s="101">
        <f t="shared" si="163"/>
        <v>0</v>
      </c>
      <c r="M123" s="101">
        <f t="shared" si="163"/>
        <v>0</v>
      </c>
      <c r="O123" s="37">
        <f t="shared" si="165"/>
        <v>0</v>
      </c>
    </row>
    <row r="124" spans="1:15" ht="47.25" customHeight="1" thickBot="1">
      <c r="A124" s="180" t="s">
        <v>14</v>
      </c>
      <c r="B124" s="167" t="s">
        <v>63</v>
      </c>
      <c r="C124" s="74" t="s">
        <v>56</v>
      </c>
      <c r="D124" s="75">
        <f>SUM(D125:D128)</f>
        <v>11433.9</v>
      </c>
      <c r="E124" s="75">
        <f t="shared" ref="E124:M124" si="168">SUM(E125:E128)</f>
        <v>12240.6</v>
      </c>
      <c r="F124" s="75">
        <f t="shared" si="168"/>
        <v>14424.9</v>
      </c>
      <c r="G124" s="75">
        <f t="shared" si="168"/>
        <v>11325.900000000001</v>
      </c>
      <c r="H124" s="75">
        <f t="shared" si="168"/>
        <v>12270.5</v>
      </c>
      <c r="I124" s="75">
        <f t="shared" si="168"/>
        <v>12453.2</v>
      </c>
      <c r="J124" s="101">
        <f t="shared" si="168"/>
        <v>13834.14</v>
      </c>
      <c r="K124" s="101">
        <f t="shared" si="168"/>
        <v>17872.640000000003</v>
      </c>
      <c r="L124" s="101">
        <f t="shared" si="168"/>
        <v>16100.200000000003</v>
      </c>
      <c r="M124" s="101">
        <f t="shared" si="168"/>
        <v>17097.399999999998</v>
      </c>
    </row>
    <row r="125" spans="1:15" ht="47.25" customHeight="1" thickBot="1">
      <c r="A125" s="181"/>
      <c r="B125" s="168"/>
      <c r="C125" s="74" t="s">
        <v>57</v>
      </c>
      <c r="D125" s="75">
        <v>11433.9</v>
      </c>
      <c r="E125" s="75">
        <v>12240.6</v>
      </c>
      <c r="F125" s="75">
        <v>14424.9</v>
      </c>
      <c r="G125" s="75">
        <v>11299.7</v>
      </c>
      <c r="H125" s="75">
        <v>12258</v>
      </c>
      <c r="I125" s="75">
        <v>12453.2</v>
      </c>
      <c r="J125" s="5">
        <f>15298.8-1.2-1836-90+1564-1.3-100-320.7+544.5+163.5-1705.7+25.7+86+26-44.06-41.1-235+130.8+36.2+340+1200+48.3+14.6+543.8+164.2-198.8+23-187.4-1200-100-340+41.1+10.3-25.4</f>
        <v>13834.14</v>
      </c>
      <c r="K125" s="101">
        <f>18365.4-316.32-176.44</f>
        <v>17872.640000000003</v>
      </c>
      <c r="L125" s="101">
        <v>16100.200000000003</v>
      </c>
      <c r="M125" s="101">
        <v>17097.399999999998</v>
      </c>
    </row>
    <row r="126" spans="1:15" ht="47.25" customHeight="1" thickBot="1">
      <c r="A126" s="181"/>
      <c r="B126" s="168"/>
      <c r="C126" s="74" t="s">
        <v>58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101">
        <v>0</v>
      </c>
      <c r="K126" s="101">
        <v>0</v>
      </c>
      <c r="L126" s="101">
        <v>0</v>
      </c>
      <c r="M126" s="101">
        <v>0</v>
      </c>
    </row>
    <row r="127" spans="1:15" ht="47.25" customHeight="1" thickBot="1">
      <c r="A127" s="181"/>
      <c r="B127" s="168"/>
      <c r="C127" s="74" t="s">
        <v>59</v>
      </c>
      <c r="D127" s="75">
        <v>0</v>
      </c>
      <c r="E127" s="75">
        <v>0</v>
      </c>
      <c r="F127" s="75">
        <v>0</v>
      </c>
      <c r="G127" s="75">
        <v>26.2</v>
      </c>
      <c r="H127" s="75">
        <v>12.5</v>
      </c>
      <c r="I127" s="75">
        <v>0</v>
      </c>
      <c r="J127" s="101">
        <v>0</v>
      </c>
      <c r="K127" s="101">
        <v>0</v>
      </c>
      <c r="L127" s="101">
        <v>0</v>
      </c>
      <c r="M127" s="101">
        <v>0</v>
      </c>
    </row>
    <row r="128" spans="1:15" ht="47.25" customHeight="1" thickBot="1">
      <c r="A128" s="182"/>
      <c r="B128" s="169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1">
        <v>0</v>
      </c>
      <c r="K128" s="101">
        <v>0</v>
      </c>
      <c r="L128" s="101">
        <v>0</v>
      </c>
      <c r="M128" s="101">
        <v>0</v>
      </c>
    </row>
    <row r="129" spans="1:13" ht="47.25" customHeight="1" thickBot="1">
      <c r="A129" s="180" t="s">
        <v>14</v>
      </c>
      <c r="B129" s="184" t="s">
        <v>44</v>
      </c>
      <c r="C129" s="74" t="s">
        <v>56</v>
      </c>
      <c r="D129" s="75">
        <f>SUM(D130:D133)</f>
        <v>274</v>
      </c>
      <c r="E129" s="75">
        <f t="shared" ref="E129:M129" si="169">SUM(E130:E133)</f>
        <v>274</v>
      </c>
      <c r="F129" s="75">
        <f t="shared" si="169"/>
        <v>274</v>
      </c>
      <c r="G129" s="75">
        <f t="shared" si="169"/>
        <v>301.39999999999998</v>
      </c>
      <c r="H129" s="75">
        <f t="shared" si="169"/>
        <v>378</v>
      </c>
      <c r="I129" s="75">
        <f t="shared" si="169"/>
        <v>353</v>
      </c>
      <c r="J129" s="101">
        <f t="shared" si="169"/>
        <v>486</v>
      </c>
      <c r="K129" s="101">
        <f t="shared" si="169"/>
        <v>332</v>
      </c>
      <c r="L129" s="101">
        <f t="shared" si="169"/>
        <v>0</v>
      </c>
      <c r="M129" s="101">
        <f t="shared" si="169"/>
        <v>0</v>
      </c>
    </row>
    <row r="130" spans="1:13" ht="47.25" customHeight="1" thickBot="1">
      <c r="A130" s="181"/>
      <c r="B130" s="185"/>
      <c r="C130" s="74" t="s">
        <v>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101">
        <v>0</v>
      </c>
      <c r="K130" s="101">
        <v>0</v>
      </c>
      <c r="L130" s="101">
        <v>0</v>
      </c>
      <c r="M130" s="101">
        <v>0</v>
      </c>
    </row>
    <row r="131" spans="1:13" ht="47.25" customHeight="1" thickBot="1">
      <c r="A131" s="181"/>
      <c r="B131" s="185"/>
      <c r="C131" s="74" t="s">
        <v>58</v>
      </c>
      <c r="D131" s="75">
        <v>274</v>
      </c>
      <c r="E131" s="75">
        <v>274</v>
      </c>
      <c r="F131" s="75">
        <v>274</v>
      </c>
      <c r="G131" s="75">
        <v>301.39999999999998</v>
      </c>
      <c r="H131" s="75">
        <v>378</v>
      </c>
      <c r="I131" s="75">
        <v>353</v>
      </c>
      <c r="J131" s="101">
        <f>392+70+20+4</f>
        <v>486</v>
      </c>
      <c r="K131" s="101">
        <v>332</v>
      </c>
      <c r="L131" s="101">
        <v>0</v>
      </c>
      <c r="M131" s="101">
        <v>0</v>
      </c>
    </row>
    <row r="132" spans="1:13" ht="47.25" customHeight="1" thickBot="1">
      <c r="A132" s="181"/>
      <c r="B132" s="185"/>
      <c r="C132" s="74" t="s">
        <v>59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 ht="47.25" customHeight="1" thickBot="1">
      <c r="A133" s="182"/>
      <c r="B133" s="186"/>
      <c r="C133" s="76" t="s">
        <v>60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101">
        <v>0</v>
      </c>
      <c r="K133" s="101">
        <v>0</v>
      </c>
      <c r="L133" s="101">
        <v>0</v>
      </c>
      <c r="M133" s="101">
        <v>0</v>
      </c>
    </row>
    <row r="134" spans="1:13">
      <c r="B134" s="71"/>
      <c r="C134" s="71"/>
      <c r="D134" s="71"/>
      <c r="E134" s="71"/>
      <c r="F134" s="71"/>
      <c r="G134" s="71"/>
      <c r="H134" s="71"/>
      <c r="I134" s="71"/>
    </row>
    <row r="135" spans="1:13">
      <c r="B135" s="71"/>
      <c r="C135" s="71"/>
      <c r="D135" s="71"/>
      <c r="E135" s="71"/>
      <c r="F135" s="71"/>
      <c r="G135" s="71"/>
      <c r="H135" s="71"/>
      <c r="I135" s="71"/>
    </row>
    <row r="136" spans="1:13">
      <c r="B136" s="71"/>
      <c r="C136" s="71"/>
      <c r="D136" s="71"/>
      <c r="E136" s="71"/>
      <c r="F136" s="71"/>
      <c r="G136" s="71"/>
      <c r="H136" s="71"/>
      <c r="I136" s="71"/>
    </row>
    <row r="137" spans="1:13">
      <c r="B137" s="71"/>
      <c r="C137" s="71"/>
      <c r="D137" s="71"/>
      <c r="E137" s="71"/>
      <c r="F137" s="71"/>
      <c r="G137" s="71"/>
      <c r="H137" s="71"/>
      <c r="I137" s="71"/>
    </row>
    <row r="138" spans="1:13">
      <c r="B138" s="71"/>
      <c r="C138" s="71"/>
      <c r="D138" s="71"/>
      <c r="E138" s="71"/>
      <c r="F138" s="71"/>
      <c r="G138" s="71"/>
      <c r="H138" s="71"/>
      <c r="I138" s="71"/>
    </row>
    <row r="139" spans="1:13">
      <c r="B139" s="71"/>
      <c r="C139" s="71"/>
      <c r="D139" s="71"/>
      <c r="E139" s="71"/>
      <c r="F139" s="71"/>
      <c r="G139" s="71"/>
      <c r="H139" s="71"/>
      <c r="I139" s="71"/>
    </row>
    <row r="140" spans="1:13">
      <c r="B140" s="71"/>
      <c r="C140" s="71"/>
      <c r="D140" s="71"/>
      <c r="E140" s="71"/>
      <c r="F140" s="71"/>
      <c r="G140" s="71"/>
      <c r="H140" s="71"/>
      <c r="I140" s="71"/>
    </row>
    <row r="141" spans="1:13">
      <c r="B141" s="71"/>
      <c r="C141" s="71"/>
      <c r="D141" s="71"/>
      <c r="E141" s="71"/>
      <c r="F141" s="71"/>
      <c r="G141" s="71"/>
      <c r="H141" s="71"/>
      <c r="I141" s="71"/>
    </row>
    <row r="142" spans="1:13">
      <c r="B142" s="71"/>
      <c r="C142" s="71"/>
      <c r="D142" s="71"/>
      <c r="E142" s="71"/>
      <c r="F142" s="71"/>
      <c r="G142" s="71"/>
      <c r="H142" s="71"/>
      <c r="I142" s="71"/>
    </row>
    <row r="143" spans="1:13">
      <c r="B143" s="71"/>
      <c r="C143" s="71"/>
      <c r="D143" s="71"/>
      <c r="E143" s="71"/>
      <c r="F143" s="71"/>
      <c r="G143" s="71"/>
      <c r="H143" s="71"/>
      <c r="I143" s="71"/>
    </row>
    <row r="144" spans="1:13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I181" s="71"/>
    </row>
    <row r="182" spans="2:9">
      <c r="I182" s="71"/>
    </row>
    <row r="183" spans="2:9">
      <c r="I183" s="71"/>
    </row>
    <row r="184" spans="2:9">
      <c r="I184" s="71"/>
    </row>
    <row r="185" spans="2:9">
      <c r="I185" s="71"/>
    </row>
    <row r="186" spans="2:9">
      <c r="I186" s="71"/>
    </row>
    <row r="187" spans="2:9">
      <c r="I187" s="71"/>
    </row>
    <row r="188" spans="2:9">
      <c r="I188" s="71"/>
    </row>
    <row r="189" spans="2:9">
      <c r="I189" s="71"/>
    </row>
    <row r="190" spans="2:9"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</sheetData>
  <mergeCells count="57">
    <mergeCell ref="A129:A133"/>
    <mergeCell ref="B129:B133"/>
    <mergeCell ref="B119:B123"/>
    <mergeCell ref="A114:A118"/>
    <mergeCell ref="B114:B118"/>
    <mergeCell ref="A119:A123"/>
    <mergeCell ref="A124:A128"/>
    <mergeCell ref="B124:B12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79:A83"/>
    <mergeCell ref="B79:B83"/>
    <mergeCell ref="A84:A88"/>
    <mergeCell ref="B84:B88"/>
    <mergeCell ref="A104:A108"/>
    <mergeCell ref="B104:B108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B14:B18"/>
    <mergeCell ref="B9:B13"/>
    <mergeCell ref="K2:L2"/>
    <mergeCell ref="B4:K4"/>
    <mergeCell ref="C6:C7"/>
    <mergeCell ref="D6:M6"/>
    <mergeCell ref="H3:M3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4"/>
  <sheetViews>
    <sheetView tabSelected="1" zoomScale="70" zoomScaleNormal="70" workbookViewId="0">
      <selection activeCell="K3" sqref="K3"/>
    </sheetView>
  </sheetViews>
  <sheetFormatPr defaultRowHeight="15.75"/>
  <cols>
    <col min="1" max="1" width="33" style="2" customWidth="1"/>
    <col min="2" max="2" width="24.42578125" style="2" customWidth="1"/>
    <col min="3" max="4" width="9.28515625" style="2" bestFit="1" customWidth="1"/>
    <col min="5" max="5" width="32.140625" style="2" customWidth="1"/>
    <col min="6" max="6" width="28.140625" style="16" customWidth="1"/>
    <col min="7" max="9" width="11.42578125" style="1" bestFit="1" customWidth="1"/>
    <col min="10" max="10" width="11.140625" style="2" bestFit="1" customWidth="1"/>
    <col min="11" max="11" width="10.85546875" style="2" bestFit="1" customWidth="1"/>
    <col min="12" max="13" width="9.140625" style="2"/>
  </cols>
  <sheetData>
    <row r="2" spans="1:14">
      <c r="G2" s="153" t="s">
        <v>200</v>
      </c>
      <c r="H2" s="153"/>
    </row>
    <row r="3" spans="1:14" ht="109.5" customHeight="1">
      <c r="F3" s="166" t="s">
        <v>225</v>
      </c>
      <c r="G3" s="166"/>
      <c r="H3" s="166"/>
      <c r="I3" s="166"/>
      <c r="J3" s="54"/>
    </row>
    <row r="5" spans="1:14" ht="52.5" customHeight="1">
      <c r="B5" s="173" t="s">
        <v>201</v>
      </c>
      <c r="C5" s="174"/>
      <c r="D5" s="174"/>
      <c r="E5" s="174"/>
      <c r="F5" s="174"/>
      <c r="G5" s="174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78" t="s">
        <v>65</v>
      </c>
      <c r="B7" s="170" t="s">
        <v>66</v>
      </c>
      <c r="C7" s="175" t="s">
        <v>67</v>
      </c>
      <c r="D7" s="177"/>
      <c r="E7" s="170" t="s">
        <v>68</v>
      </c>
      <c r="F7" s="196" t="s">
        <v>69</v>
      </c>
      <c r="G7" s="198" t="s">
        <v>70</v>
      </c>
      <c r="H7" s="199"/>
      <c r="I7" s="199"/>
      <c r="J7" s="200"/>
    </row>
    <row r="8" spans="1:14" ht="63.75" thickBot="1">
      <c r="A8" s="179"/>
      <c r="B8" s="172"/>
      <c r="C8" s="72" t="s">
        <v>71</v>
      </c>
      <c r="D8" s="72" t="s">
        <v>72</v>
      </c>
      <c r="E8" s="172"/>
      <c r="F8" s="197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G10+G31+G54+G56</f>
        <v>269207.38</v>
      </c>
      <c r="L9" s="37">
        <f>H10+H31+H54+H56</f>
        <v>369748.86000000004</v>
      </c>
      <c r="M9" s="37">
        <f>I10+I31+I54+I56</f>
        <v>220330.28</v>
      </c>
      <c r="N9" s="37">
        <f>J10+J31+J54+J56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4">
        <f>SUM(G11:G30)</f>
        <v>238681.90000000002</v>
      </c>
      <c r="H10" s="104">
        <f>SUM(H11:H30)</f>
        <v>226746.1</v>
      </c>
      <c r="I10" s="104">
        <f>SUM(I11:I30)</f>
        <v>197110.28</v>
      </c>
      <c r="J10" s="104">
        <f>SUM(J11:J30)</f>
        <v>197017.1</v>
      </c>
    </row>
    <row r="11" spans="1:14" ht="51.75" customHeight="1" thickBot="1">
      <c r="A11" s="180" t="s">
        <v>74</v>
      </c>
      <c r="B11" s="170" t="s">
        <v>16</v>
      </c>
      <c r="C11" s="170">
        <v>2016</v>
      </c>
      <c r="D11" s="170">
        <v>2025</v>
      </c>
      <c r="E11" s="170" t="s">
        <v>75</v>
      </c>
      <c r="F11" s="85" t="s">
        <v>111</v>
      </c>
      <c r="G11" s="4">
        <v>20545</v>
      </c>
      <c r="H11" s="4">
        <v>17775</v>
      </c>
      <c r="I11" s="4">
        <v>15802.099999999999</v>
      </c>
      <c r="J11" s="4">
        <v>15802</v>
      </c>
    </row>
    <row r="12" spans="1:14" ht="51.75" customHeight="1" thickBot="1">
      <c r="A12" s="181"/>
      <c r="B12" s="171"/>
      <c r="C12" s="171"/>
      <c r="D12" s="171"/>
      <c r="E12" s="171"/>
      <c r="F12" s="86" t="s">
        <v>112</v>
      </c>
      <c r="G12" s="4">
        <v>40013.5</v>
      </c>
      <c r="H12" s="4">
        <f>37048.5+174</f>
        <v>37222.5</v>
      </c>
      <c r="I12" s="4">
        <v>32493.899999999998</v>
      </c>
      <c r="J12" s="4">
        <v>32493.8</v>
      </c>
    </row>
    <row r="13" spans="1:14" ht="51.75" customHeight="1" thickBot="1">
      <c r="A13" s="182"/>
      <c r="B13" s="172"/>
      <c r="C13" s="172"/>
      <c r="D13" s="172"/>
      <c r="E13" s="172"/>
      <c r="F13" s="86" t="s">
        <v>113</v>
      </c>
      <c r="G13" s="4">
        <v>4488.8</v>
      </c>
      <c r="H13" s="4">
        <v>3427.1</v>
      </c>
      <c r="I13" s="4">
        <v>2700.3</v>
      </c>
      <c r="J13" s="4">
        <v>2387.4</v>
      </c>
    </row>
    <row r="14" spans="1:14" ht="51.75" customHeight="1" thickBot="1">
      <c r="A14" s="180" t="s">
        <v>76</v>
      </c>
      <c r="B14" s="170" t="s">
        <v>16</v>
      </c>
      <c r="C14" s="170">
        <v>2016</v>
      </c>
      <c r="D14" s="170">
        <v>2025</v>
      </c>
      <c r="E14" s="170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82"/>
      <c r="B15" s="172"/>
      <c r="C15" s="172"/>
      <c r="D15" s="172"/>
      <c r="E15" s="172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80" t="s">
        <v>77</v>
      </c>
      <c r="B16" s="170" t="s">
        <v>16</v>
      </c>
      <c r="C16" s="170">
        <v>2016</v>
      </c>
      <c r="D16" s="170">
        <v>2025</v>
      </c>
      <c r="E16" s="170" t="s">
        <v>103</v>
      </c>
      <c r="F16" s="85" t="s">
        <v>116</v>
      </c>
      <c r="G16" s="105">
        <f>3587+272.6+908</f>
        <v>4767.6000000000004</v>
      </c>
      <c r="H16" s="105">
        <v>5337.6</v>
      </c>
      <c r="I16" s="105">
        <v>4803.8</v>
      </c>
      <c r="J16" s="105">
        <v>4803.8</v>
      </c>
    </row>
    <row r="17" spans="1:10" ht="222" customHeight="1" thickBot="1">
      <c r="A17" s="181"/>
      <c r="B17" s="171"/>
      <c r="C17" s="171"/>
      <c r="D17" s="171"/>
      <c r="E17" s="172"/>
      <c r="F17" s="82" t="s">
        <v>220</v>
      </c>
      <c r="G17" s="106">
        <v>7015.6</v>
      </c>
      <c r="H17" s="106">
        <v>7063</v>
      </c>
      <c r="I17" s="106">
        <v>7063</v>
      </c>
      <c r="J17" s="106">
        <v>7282.9</v>
      </c>
    </row>
    <row r="18" spans="1:10" ht="51.75" customHeight="1" thickBot="1">
      <c r="A18" s="180" t="s">
        <v>78</v>
      </c>
      <c r="B18" s="170" t="s">
        <v>16</v>
      </c>
      <c r="C18" s="170">
        <v>2016</v>
      </c>
      <c r="D18" s="170">
        <v>2025</v>
      </c>
      <c r="E18" s="170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81"/>
      <c r="B19" s="171"/>
      <c r="C19" s="171"/>
      <c r="D19" s="171"/>
      <c r="E19" s="171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82"/>
      <c r="B20" s="172"/>
      <c r="C20" s="172"/>
      <c r="D20" s="172"/>
      <c r="E20" s="172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87" t="s">
        <v>80</v>
      </c>
      <c r="B21" s="170" t="s">
        <v>16</v>
      </c>
      <c r="C21" s="170">
        <v>2016</v>
      </c>
      <c r="D21" s="170">
        <v>2025</v>
      </c>
      <c r="E21" s="170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88"/>
      <c r="B22" s="171"/>
      <c r="C22" s="171"/>
      <c r="D22" s="171"/>
      <c r="E22" s="171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88"/>
      <c r="B23" s="171"/>
      <c r="C23" s="171"/>
      <c r="D23" s="171"/>
      <c r="E23" s="171"/>
      <c r="F23" s="82" t="s">
        <v>122</v>
      </c>
      <c r="G23" s="4">
        <v>108.3</v>
      </c>
      <c r="H23" s="4">
        <v>58.7</v>
      </c>
      <c r="I23" s="7">
        <v>0</v>
      </c>
      <c r="J23" s="7">
        <v>0</v>
      </c>
    </row>
    <row r="24" spans="1:10" ht="51.75" customHeight="1" thickBot="1">
      <c r="A24" s="188"/>
      <c r="B24" s="171"/>
      <c r="C24" s="171"/>
      <c r="D24" s="171"/>
      <c r="E24" s="171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89"/>
      <c r="B25" s="172"/>
      <c r="C25" s="172"/>
      <c r="D25" s="172"/>
      <c r="E25" s="172"/>
      <c r="F25" s="82" t="s">
        <v>81</v>
      </c>
      <c r="G25" s="106">
        <v>0</v>
      </c>
      <c r="H25" s="106">
        <v>0</v>
      </c>
      <c r="I25" s="106">
        <v>0</v>
      </c>
      <c r="J25" s="106">
        <v>0</v>
      </c>
    </row>
    <row r="26" spans="1:10" ht="51.75" customHeight="1" thickBot="1">
      <c r="A26" s="180" t="s">
        <v>82</v>
      </c>
      <c r="B26" s="170" t="s">
        <v>16</v>
      </c>
      <c r="C26" s="170">
        <v>2016</v>
      </c>
      <c r="D26" s="170">
        <v>2025</v>
      </c>
      <c r="E26" s="170" t="s">
        <v>83</v>
      </c>
      <c r="F26" s="82" t="s">
        <v>124</v>
      </c>
      <c r="G26" s="4">
        <v>640</v>
      </c>
      <c r="H26" s="4">
        <v>0</v>
      </c>
      <c r="I26" s="4">
        <v>0</v>
      </c>
      <c r="J26" s="4">
        <v>0</v>
      </c>
    </row>
    <row r="27" spans="1:10" ht="51.75" customHeight="1" thickBot="1">
      <c r="A27" s="181"/>
      <c r="B27" s="171"/>
      <c r="C27" s="171"/>
      <c r="D27" s="171"/>
      <c r="E27" s="171"/>
      <c r="F27" s="82" t="s">
        <v>125</v>
      </c>
      <c r="G27" s="4">
        <v>5128</v>
      </c>
      <c r="H27" s="4">
        <v>300</v>
      </c>
      <c r="I27" s="4">
        <v>0</v>
      </c>
      <c r="J27" s="4">
        <v>0</v>
      </c>
    </row>
    <row r="28" spans="1:10" ht="51.75" customHeight="1" thickBot="1">
      <c r="A28" s="182"/>
      <c r="B28" s="172"/>
      <c r="C28" s="172"/>
      <c r="D28" s="172"/>
      <c r="E28" s="172"/>
      <c r="F28" s="82" t="s">
        <v>126</v>
      </c>
      <c r="G28" s="7">
        <v>0</v>
      </c>
      <c r="H28" s="7">
        <v>0</v>
      </c>
      <c r="I28" s="7">
        <v>0</v>
      </c>
      <c r="J28" s="7">
        <v>0</v>
      </c>
    </row>
    <row r="29" spans="1:10" ht="129" hidden="1" customHeight="1" thickBot="1">
      <c r="A29" s="38" t="s">
        <v>84</v>
      </c>
      <c r="B29" s="64"/>
      <c r="C29" s="3">
        <v>2016</v>
      </c>
      <c r="D29" s="3">
        <v>2025</v>
      </c>
      <c r="E29" s="40" t="s">
        <v>85</v>
      </c>
      <c r="F29" s="82" t="s">
        <v>86</v>
      </c>
      <c r="G29" s="7">
        <v>0</v>
      </c>
      <c r="H29" s="7">
        <v>0</v>
      </c>
      <c r="I29" s="7">
        <v>0</v>
      </c>
      <c r="J29" s="7">
        <v>0</v>
      </c>
    </row>
    <row r="30" spans="1:10" ht="177" customHeight="1" thickBot="1">
      <c r="A30" s="38" t="s">
        <v>87</v>
      </c>
      <c r="B30" s="3"/>
      <c r="C30" s="3">
        <v>2016</v>
      </c>
      <c r="D30" s="3">
        <v>2025</v>
      </c>
      <c r="E30" s="55" t="s">
        <v>88</v>
      </c>
      <c r="F30" s="82" t="s">
        <v>221</v>
      </c>
      <c r="G30" s="4">
        <v>7109.1</v>
      </c>
      <c r="H30" s="4">
        <v>7265.2</v>
      </c>
      <c r="I30" s="4">
        <v>7265.2</v>
      </c>
      <c r="J30" s="4">
        <v>7265.2</v>
      </c>
    </row>
    <row r="31" spans="1:10" ht="51.75" customHeight="1" thickBot="1">
      <c r="A31" s="38" t="s">
        <v>89</v>
      </c>
      <c r="B31" s="3"/>
      <c r="C31" s="3">
        <v>2016</v>
      </c>
      <c r="D31" s="3">
        <v>2025</v>
      </c>
      <c r="E31" s="39"/>
      <c r="F31" s="84"/>
      <c r="G31" s="7">
        <f>SUM(G32:G48)</f>
        <v>16205.380000000001</v>
      </c>
      <c r="H31" s="7">
        <f>SUM(H32:H50)</f>
        <v>124798.12000000001</v>
      </c>
      <c r="I31" s="7">
        <f t="shared" ref="I31" si="0">SUM(I32:I48)</f>
        <v>7119.8</v>
      </c>
      <c r="J31" s="7">
        <f t="shared" ref="J31" si="1">SUM(J32:J48)</f>
        <v>7432.7000000000007</v>
      </c>
    </row>
    <row r="32" spans="1:10" ht="51.75" customHeight="1" thickBot="1">
      <c r="A32" s="180" t="s">
        <v>90</v>
      </c>
      <c r="B32" s="178" t="s">
        <v>16</v>
      </c>
      <c r="C32" s="178">
        <v>2016</v>
      </c>
      <c r="D32" s="178">
        <v>2025</v>
      </c>
      <c r="E32" s="178" t="s">
        <v>91</v>
      </c>
      <c r="F32" s="82" t="s">
        <v>92</v>
      </c>
      <c r="G32" s="4">
        <f>354.6+1.3</f>
        <v>355.90000000000003</v>
      </c>
      <c r="H32" s="4"/>
      <c r="I32" s="4"/>
      <c r="J32" s="4"/>
    </row>
    <row r="33" spans="1:10" ht="51.75" customHeight="1" thickBot="1">
      <c r="A33" s="181"/>
      <c r="B33" s="183"/>
      <c r="C33" s="183"/>
      <c r="D33" s="183"/>
      <c r="E33" s="183"/>
      <c r="F33" s="82" t="s">
        <v>222</v>
      </c>
      <c r="G33" s="4"/>
      <c r="H33" s="4">
        <v>365.8</v>
      </c>
      <c r="I33" s="4">
        <v>329.1</v>
      </c>
      <c r="J33" s="4">
        <v>329.1</v>
      </c>
    </row>
    <row r="34" spans="1:10" ht="51.75" customHeight="1" thickBot="1">
      <c r="A34" s="181"/>
      <c r="B34" s="183"/>
      <c r="C34" s="183"/>
      <c r="D34" s="183"/>
      <c r="E34" s="183"/>
      <c r="F34" s="82" t="s">
        <v>178</v>
      </c>
      <c r="G34" s="4">
        <f>133.9+13.6+4.1</f>
        <v>151.6</v>
      </c>
      <c r="H34" s="4"/>
      <c r="I34" s="4"/>
      <c r="J34" s="4"/>
    </row>
    <row r="35" spans="1:10" ht="51.75" customHeight="1" thickBot="1">
      <c r="A35" s="181"/>
      <c r="B35" s="183"/>
      <c r="C35" s="183"/>
      <c r="D35" s="183"/>
      <c r="E35" s="179"/>
      <c r="F35" s="82" t="s">
        <v>178</v>
      </c>
      <c r="G35" s="4"/>
      <c r="H35" s="4">
        <v>174.1</v>
      </c>
      <c r="I35" s="4">
        <v>156.69999999999999</v>
      </c>
      <c r="J35" s="4">
        <v>156.69999999999999</v>
      </c>
    </row>
    <row r="36" spans="1:10" ht="126" customHeight="1" thickBot="1">
      <c r="A36" s="41" t="s">
        <v>93</v>
      </c>
      <c r="B36" s="42" t="s">
        <v>16</v>
      </c>
      <c r="C36" s="42">
        <v>2016</v>
      </c>
      <c r="D36" s="42">
        <v>2025</v>
      </c>
      <c r="E36" s="42" t="s">
        <v>104</v>
      </c>
      <c r="F36" s="87"/>
      <c r="G36" s="4"/>
      <c r="H36" s="4"/>
      <c r="I36" s="4"/>
      <c r="J36" s="4"/>
    </row>
    <row r="37" spans="1:10" ht="54" customHeight="1" thickBot="1">
      <c r="A37" s="187" t="s">
        <v>94</v>
      </c>
      <c r="B37" s="178" t="s">
        <v>176</v>
      </c>
      <c r="C37" s="178">
        <v>2016</v>
      </c>
      <c r="D37" s="178">
        <v>2025</v>
      </c>
      <c r="E37" s="178" t="s">
        <v>174</v>
      </c>
      <c r="F37" s="82" t="s">
        <v>95</v>
      </c>
      <c r="G37" s="4">
        <f>4016.3</f>
        <v>4016.3</v>
      </c>
      <c r="H37" s="4">
        <v>0</v>
      </c>
      <c r="I37" s="7">
        <v>0</v>
      </c>
      <c r="J37" s="7">
        <v>0</v>
      </c>
    </row>
    <row r="38" spans="1:10" ht="54" customHeight="1" thickBot="1">
      <c r="A38" s="188"/>
      <c r="B38" s="183"/>
      <c r="C38" s="183"/>
      <c r="D38" s="183"/>
      <c r="E38" s="183"/>
      <c r="F38" s="82" t="s">
        <v>195</v>
      </c>
      <c r="G38" s="4">
        <f>100-20.32</f>
        <v>79.680000000000007</v>
      </c>
      <c r="H38" s="4"/>
      <c r="I38" s="7"/>
      <c r="J38" s="7"/>
    </row>
    <row r="39" spans="1:10" ht="54" customHeight="1" thickBot="1">
      <c r="A39" s="188"/>
      <c r="B39" s="183"/>
      <c r="C39" s="183"/>
      <c r="D39" s="183"/>
      <c r="E39" s="183"/>
      <c r="F39" s="82" t="s">
        <v>234</v>
      </c>
      <c r="G39" s="4"/>
      <c r="H39" s="4">
        <v>249.8</v>
      </c>
      <c r="I39" s="7"/>
      <c r="J39" s="7"/>
    </row>
    <row r="40" spans="1:10" ht="54" customHeight="1" thickBot="1">
      <c r="A40" s="188"/>
      <c r="B40" s="183"/>
      <c r="C40" s="183"/>
      <c r="D40" s="183"/>
      <c r="E40" s="183"/>
      <c r="F40" s="82" t="s">
        <v>223</v>
      </c>
      <c r="G40" s="4"/>
      <c r="H40" s="4">
        <v>3093.99</v>
      </c>
      <c r="I40" s="7"/>
      <c r="J40" s="7"/>
    </row>
    <row r="41" spans="1:10" ht="54" customHeight="1" thickBot="1">
      <c r="A41" s="188"/>
      <c r="B41" s="183"/>
      <c r="C41" s="183"/>
      <c r="D41" s="183"/>
      <c r="E41" s="179"/>
      <c r="F41" s="82" t="s">
        <v>235</v>
      </c>
      <c r="G41" s="4"/>
      <c r="H41" s="4">
        <v>343.95</v>
      </c>
      <c r="I41" s="7"/>
      <c r="J41" s="7"/>
    </row>
    <row r="42" spans="1:10" ht="54" customHeight="1" thickBot="1">
      <c r="A42" s="188" t="s">
        <v>189</v>
      </c>
      <c r="B42" s="183"/>
      <c r="C42" s="183"/>
      <c r="D42" s="183"/>
      <c r="E42" s="178" t="s">
        <v>175</v>
      </c>
      <c r="F42" s="82" t="s">
        <v>184</v>
      </c>
      <c r="G42" s="4">
        <f>1260.2-608.2</f>
        <v>652</v>
      </c>
      <c r="H42" s="4"/>
      <c r="I42" s="7"/>
      <c r="J42" s="7"/>
    </row>
    <row r="43" spans="1:10" ht="111.75" customHeight="1" thickBot="1">
      <c r="A43" s="189"/>
      <c r="B43" s="179"/>
      <c r="C43" s="179"/>
      <c r="D43" s="179"/>
      <c r="E43" s="179"/>
      <c r="F43" s="82" t="s">
        <v>192</v>
      </c>
      <c r="G43" s="4">
        <v>608.20000000000005</v>
      </c>
      <c r="H43" s="4"/>
      <c r="I43" s="7"/>
      <c r="J43" s="7"/>
    </row>
    <row r="44" spans="1:10" ht="51.75" customHeight="1" thickBot="1">
      <c r="A44" s="187" t="s">
        <v>177</v>
      </c>
      <c r="B44" s="178" t="s">
        <v>96</v>
      </c>
      <c r="C44" s="178">
        <v>2021</v>
      </c>
      <c r="D44" s="178">
        <v>2025</v>
      </c>
      <c r="E44" s="178" t="s">
        <v>97</v>
      </c>
      <c r="F44" s="82" t="s">
        <v>109</v>
      </c>
      <c r="G44" s="4">
        <v>5915.6</v>
      </c>
      <c r="H44" s="4">
        <v>6246.8</v>
      </c>
      <c r="I44" s="4">
        <v>6626.2</v>
      </c>
      <c r="J44" s="4">
        <v>6938.6</v>
      </c>
    </row>
    <row r="45" spans="1:10" ht="101.25" customHeight="1" thickBot="1">
      <c r="A45" s="189"/>
      <c r="B45" s="179"/>
      <c r="C45" s="179"/>
      <c r="D45" s="179"/>
      <c r="E45" s="179"/>
      <c r="F45" s="82" t="s">
        <v>110</v>
      </c>
      <c r="G45" s="4">
        <v>0</v>
      </c>
      <c r="H45" s="4">
        <v>7.6</v>
      </c>
      <c r="I45" s="4">
        <v>7.8</v>
      </c>
      <c r="J45" s="4">
        <v>8.3000000000000007</v>
      </c>
    </row>
    <row r="46" spans="1:10" ht="186" customHeight="1" thickBot="1">
      <c r="A46" s="43" t="s">
        <v>190</v>
      </c>
      <c r="B46" s="178" t="s">
        <v>176</v>
      </c>
      <c r="C46" s="178">
        <v>2019</v>
      </c>
      <c r="D46" s="178">
        <v>2025</v>
      </c>
      <c r="E46" s="178" t="s">
        <v>179</v>
      </c>
      <c r="F46" s="82" t="s">
        <v>183</v>
      </c>
      <c r="G46" s="4">
        <v>1569</v>
      </c>
      <c r="H46" s="4">
        <v>0</v>
      </c>
      <c r="I46" s="4">
        <v>0</v>
      </c>
      <c r="J46" s="4">
        <v>0</v>
      </c>
    </row>
    <row r="47" spans="1:10" ht="178.5" customHeight="1" thickBot="1">
      <c r="A47" s="117" t="s">
        <v>236</v>
      </c>
      <c r="B47" s="179"/>
      <c r="C47" s="179"/>
      <c r="D47" s="179"/>
      <c r="E47" s="179"/>
      <c r="F47" s="82" t="s">
        <v>237</v>
      </c>
      <c r="G47" s="4"/>
      <c r="H47" s="4">
        <v>2195.5700000000002</v>
      </c>
      <c r="I47" s="4"/>
      <c r="J47" s="4"/>
    </row>
    <row r="48" spans="1:10" ht="145.5" customHeight="1" thickBot="1">
      <c r="A48" s="92" t="s">
        <v>191</v>
      </c>
      <c r="B48" s="170" t="s">
        <v>176</v>
      </c>
      <c r="C48" s="170">
        <v>2019</v>
      </c>
      <c r="D48" s="170">
        <v>2025</v>
      </c>
      <c r="E48" s="170" t="s">
        <v>180</v>
      </c>
      <c r="F48" s="82" t="s">
        <v>182</v>
      </c>
      <c r="G48" s="4">
        <f>2914.2-57.1</f>
        <v>2857.1</v>
      </c>
      <c r="H48" s="4">
        <v>0</v>
      </c>
      <c r="I48" s="4">
        <v>0</v>
      </c>
      <c r="J48" s="4">
        <v>0</v>
      </c>
    </row>
    <row r="49" spans="1:10" ht="120.75" customHeight="1" thickBot="1">
      <c r="A49" s="116" t="s">
        <v>238</v>
      </c>
      <c r="B49" s="172"/>
      <c r="C49" s="172"/>
      <c r="D49" s="172"/>
      <c r="E49" s="172"/>
      <c r="F49" s="82" t="s">
        <v>239</v>
      </c>
      <c r="G49" s="4"/>
      <c r="H49" s="4">
        <v>9592.56</v>
      </c>
      <c r="I49" s="4"/>
      <c r="J49" s="4"/>
    </row>
    <row r="50" spans="1:10" ht="103.5" customHeight="1" thickBot="1">
      <c r="A50" s="92" t="s">
        <v>211</v>
      </c>
      <c r="B50" s="170" t="s">
        <v>176</v>
      </c>
      <c r="C50" s="170">
        <v>2022</v>
      </c>
      <c r="D50" s="170">
        <v>2025</v>
      </c>
      <c r="E50" s="72" t="s">
        <v>11</v>
      </c>
      <c r="F50" s="88" t="s">
        <v>224</v>
      </c>
      <c r="G50" s="4"/>
      <c r="H50" s="4">
        <f>H51+H52+H53</f>
        <v>102527.95000000001</v>
      </c>
      <c r="I50" s="4"/>
      <c r="J50" s="4"/>
    </row>
    <row r="51" spans="1:10" ht="63.75" customHeight="1" thickBot="1">
      <c r="A51" s="92" t="s">
        <v>213</v>
      </c>
      <c r="B51" s="171"/>
      <c r="C51" s="171"/>
      <c r="D51" s="171"/>
      <c r="E51" s="72" t="s">
        <v>214</v>
      </c>
      <c r="F51" s="88" t="s">
        <v>224</v>
      </c>
      <c r="G51" s="4"/>
      <c r="H51" s="4">
        <v>94041.600000000006</v>
      </c>
      <c r="I51" s="4"/>
      <c r="J51" s="4"/>
    </row>
    <row r="52" spans="1:10" ht="95.25" thickBot="1">
      <c r="A52" s="92" t="s">
        <v>212</v>
      </c>
      <c r="B52" s="171"/>
      <c r="C52" s="171"/>
      <c r="D52" s="171"/>
      <c r="E52" s="72" t="s">
        <v>215</v>
      </c>
      <c r="F52" s="88" t="s">
        <v>224</v>
      </c>
      <c r="G52" s="4"/>
      <c r="H52" s="4">
        <v>8419.7999999999993</v>
      </c>
      <c r="I52" s="4"/>
      <c r="J52" s="4"/>
    </row>
    <row r="53" spans="1:10" ht="63.75" thickBot="1">
      <c r="A53" s="116" t="s">
        <v>240</v>
      </c>
      <c r="B53" s="172"/>
      <c r="C53" s="172"/>
      <c r="D53" s="172"/>
      <c r="E53" s="72" t="s">
        <v>11</v>
      </c>
      <c r="F53" s="88" t="s">
        <v>241</v>
      </c>
      <c r="G53" s="4"/>
      <c r="H53" s="4">
        <v>66.55</v>
      </c>
      <c r="I53" s="4"/>
      <c r="J53" s="4"/>
    </row>
    <row r="54" spans="1:10" ht="73.5" customHeight="1" thickBot="1">
      <c r="A54" s="41" t="s">
        <v>167</v>
      </c>
      <c r="B54" s="58"/>
      <c r="C54" s="14">
        <v>2016</v>
      </c>
      <c r="D54" s="14">
        <v>2025</v>
      </c>
      <c r="E54" s="44"/>
      <c r="F54" s="88" t="s">
        <v>11</v>
      </c>
      <c r="G54" s="8">
        <f t="shared" ref="G54:I54" si="2">G55</f>
        <v>0</v>
      </c>
      <c r="H54" s="8">
        <f t="shared" si="2"/>
        <v>0</v>
      </c>
      <c r="I54" s="8">
        <f t="shared" si="2"/>
        <v>0</v>
      </c>
      <c r="J54" s="8">
        <v>0</v>
      </c>
    </row>
    <row r="55" spans="1:10" ht="176.25" hidden="1" customHeight="1" thickBot="1">
      <c r="A55" s="45" t="s">
        <v>105</v>
      </c>
      <c r="B55" s="46" t="s">
        <v>16</v>
      </c>
      <c r="C55" s="46">
        <v>2016</v>
      </c>
      <c r="D55" s="46">
        <v>2025</v>
      </c>
      <c r="E55" s="47" t="s">
        <v>106</v>
      </c>
      <c r="F55" s="89" t="s">
        <v>127</v>
      </c>
      <c r="G55" s="8">
        <v>0</v>
      </c>
      <c r="H55" s="8">
        <v>0</v>
      </c>
      <c r="I55" s="8">
        <v>0</v>
      </c>
      <c r="J55" s="8">
        <v>1</v>
      </c>
    </row>
    <row r="56" spans="1:10" ht="111.75" customHeight="1" thickBot="1">
      <c r="A56" s="41" t="s">
        <v>98</v>
      </c>
      <c r="B56" s="58"/>
      <c r="C56" s="14">
        <v>2016</v>
      </c>
      <c r="D56" s="14">
        <v>2025</v>
      </c>
      <c r="E56" s="44"/>
      <c r="F56" s="90"/>
      <c r="G56" s="8">
        <f t="shared" ref="G56:H56" si="3">SUM(G57:G64)</f>
        <v>14320.099999999999</v>
      </c>
      <c r="H56" s="8">
        <f t="shared" si="3"/>
        <v>18204.64</v>
      </c>
      <c r="I56" s="8">
        <f t="shared" ref="I56:J56" si="4">SUM(I57:I64)</f>
        <v>16100.200000000003</v>
      </c>
      <c r="J56" s="8">
        <f t="shared" si="4"/>
        <v>17097.399999999998</v>
      </c>
    </row>
    <row r="57" spans="1:10" ht="51.75" customHeight="1" thickBot="1">
      <c r="A57" s="178" t="s">
        <v>99</v>
      </c>
      <c r="B57" s="178" t="s">
        <v>16</v>
      </c>
      <c r="C57" s="178">
        <v>2016</v>
      </c>
      <c r="D57" s="178">
        <v>2025</v>
      </c>
      <c r="E57" s="123" t="s">
        <v>100</v>
      </c>
      <c r="F57" s="82" t="s">
        <v>128</v>
      </c>
      <c r="G57" s="4">
        <v>10779.8</v>
      </c>
      <c r="H57" s="4">
        <v>11661.400000000001</v>
      </c>
      <c r="I57" s="4">
        <v>11661.400000000001</v>
      </c>
      <c r="J57" s="4">
        <v>11661.5</v>
      </c>
    </row>
    <row r="58" spans="1:10" ht="51.75" customHeight="1" thickBot="1">
      <c r="A58" s="183"/>
      <c r="B58" s="183"/>
      <c r="C58" s="183"/>
      <c r="D58" s="183"/>
      <c r="E58" s="160"/>
      <c r="F58" s="82" t="s">
        <v>129</v>
      </c>
      <c r="G58" s="4">
        <v>1598.5</v>
      </c>
      <c r="H58" s="4">
        <v>1394.6</v>
      </c>
      <c r="I58" s="4">
        <v>1287.5999999999999</v>
      </c>
      <c r="J58" s="4">
        <v>1287.5999999999999</v>
      </c>
    </row>
    <row r="59" spans="1:10" ht="51.75" customHeight="1" thickBot="1">
      <c r="A59" s="183"/>
      <c r="B59" s="183"/>
      <c r="C59" s="183"/>
      <c r="D59" s="183"/>
      <c r="E59" s="160"/>
      <c r="F59" s="82" t="s">
        <v>130</v>
      </c>
      <c r="G59" s="4">
        <v>12.3</v>
      </c>
      <c r="H59" s="4">
        <f>4251.3-316.32-176.44</f>
        <v>3758.54</v>
      </c>
      <c r="I59" s="4">
        <v>2093.1</v>
      </c>
      <c r="J59" s="4">
        <v>3090.2</v>
      </c>
    </row>
    <row r="60" spans="1:10" ht="51.75" customHeight="1" thickBot="1">
      <c r="A60" s="183"/>
      <c r="B60" s="183"/>
      <c r="C60" s="183"/>
      <c r="D60" s="183"/>
      <c r="E60" s="160"/>
      <c r="F60" s="82" t="s">
        <v>131</v>
      </c>
      <c r="G60" s="4">
        <v>1420.5</v>
      </c>
      <c r="H60" s="4">
        <v>1058.0999999999999</v>
      </c>
      <c r="I60" s="4">
        <v>1058.0999999999999</v>
      </c>
      <c r="J60" s="4">
        <v>1058.0999999999999</v>
      </c>
    </row>
    <row r="61" spans="1:10" ht="51.75" hidden="1" customHeight="1" thickBot="1">
      <c r="A61" s="183"/>
      <c r="B61" s="183"/>
      <c r="C61" s="183"/>
      <c r="D61" s="183"/>
      <c r="E61" s="160"/>
      <c r="F61" s="82" t="s">
        <v>166</v>
      </c>
      <c r="G61" s="4"/>
      <c r="H61" s="4"/>
      <c r="I61" s="4"/>
      <c r="J61" s="4"/>
    </row>
    <row r="62" spans="1:10" ht="51.75" customHeight="1" thickBot="1">
      <c r="A62" s="179"/>
      <c r="B62" s="179"/>
      <c r="C62" s="179"/>
      <c r="D62" s="179"/>
      <c r="E62" s="124"/>
      <c r="F62" s="82" t="s">
        <v>205</v>
      </c>
      <c r="G62" s="4">
        <v>23</v>
      </c>
      <c r="H62" s="4">
        <v>0</v>
      </c>
      <c r="I62" s="4">
        <v>0</v>
      </c>
      <c r="J62" s="4">
        <v>0</v>
      </c>
    </row>
    <row r="63" spans="1:10" ht="51.75" customHeight="1" thickBot="1">
      <c r="A63" s="187" t="s">
        <v>101</v>
      </c>
      <c r="B63" s="178" t="s">
        <v>16</v>
      </c>
      <c r="C63" s="178">
        <v>2016</v>
      </c>
      <c r="D63" s="178">
        <v>2025</v>
      </c>
      <c r="E63" s="178" t="s">
        <v>107</v>
      </c>
      <c r="F63" s="91" t="s">
        <v>132</v>
      </c>
      <c r="G63" s="4">
        <v>311.60000000000002</v>
      </c>
      <c r="H63" s="4">
        <v>332</v>
      </c>
      <c r="I63" s="4">
        <v>0</v>
      </c>
      <c r="J63" s="4">
        <v>0</v>
      </c>
    </row>
    <row r="64" spans="1:10" ht="54.75" customHeight="1" thickBot="1">
      <c r="A64" s="189"/>
      <c r="B64" s="179"/>
      <c r="C64" s="179"/>
      <c r="D64" s="179"/>
      <c r="E64" s="179"/>
      <c r="F64" s="82" t="s">
        <v>133</v>
      </c>
      <c r="G64" s="4">
        <v>174.4</v>
      </c>
      <c r="H64" s="4">
        <v>0</v>
      </c>
      <c r="I64" s="4">
        <v>0</v>
      </c>
      <c r="J64" s="4">
        <v>0</v>
      </c>
    </row>
  </sheetData>
  <mergeCells count="77">
    <mergeCell ref="E57:E62"/>
    <mergeCell ref="A42:A43"/>
    <mergeCell ref="E42:E43"/>
    <mergeCell ref="C37:C43"/>
    <mergeCell ref="B37:B43"/>
    <mergeCell ref="D37:D43"/>
    <mergeCell ref="A37:A41"/>
    <mergeCell ref="E37:E41"/>
    <mergeCell ref="A57:A62"/>
    <mergeCell ref="B57:B62"/>
    <mergeCell ref="C57:C62"/>
    <mergeCell ref="D57:D62"/>
    <mergeCell ref="B46:B47"/>
    <mergeCell ref="E63:E64"/>
    <mergeCell ref="E21:E25"/>
    <mergeCell ref="A63:A64"/>
    <mergeCell ref="B63:B64"/>
    <mergeCell ref="C63:C64"/>
    <mergeCell ref="D63:D64"/>
    <mergeCell ref="A44:A45"/>
    <mergeCell ref="B44:B45"/>
    <mergeCell ref="C44:C45"/>
    <mergeCell ref="D44:D45"/>
    <mergeCell ref="E44:E45"/>
    <mergeCell ref="A26:A28"/>
    <mergeCell ref="B26:B28"/>
    <mergeCell ref="C26:C28"/>
    <mergeCell ref="D26:D28"/>
    <mergeCell ref="A32:A35"/>
    <mergeCell ref="B32:B35"/>
    <mergeCell ref="C32:C35"/>
    <mergeCell ref="D32:D35"/>
    <mergeCell ref="E32:E35"/>
    <mergeCell ref="E11:E13"/>
    <mergeCell ref="E14:E15"/>
    <mergeCell ref="E16:E17"/>
    <mergeCell ref="E26:E28"/>
    <mergeCell ref="E18:E20"/>
    <mergeCell ref="D14:D15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B5:G5"/>
    <mergeCell ref="G2:H2"/>
    <mergeCell ref="F3:I3"/>
    <mergeCell ref="E7:E8"/>
    <mergeCell ref="F7:F8"/>
    <mergeCell ref="G7:J7"/>
    <mergeCell ref="E46:E47"/>
    <mergeCell ref="B48:B49"/>
    <mergeCell ref="C48:C49"/>
    <mergeCell ref="D48:D49"/>
    <mergeCell ref="E48:E49"/>
    <mergeCell ref="B50:B53"/>
    <mergeCell ref="C50:C53"/>
    <mergeCell ref="D50:D53"/>
    <mergeCell ref="C46:C47"/>
    <mergeCell ref="D46:D4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2023-02-01T11:28:21Z</dcterms:modified>
</cp:coreProperties>
</file>