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tabRatio="855"/>
  </bookViews>
  <sheets>
    <sheet name="СВОД по финобеспеч" sheetId="2" r:id="rId1"/>
    <sheet name="УправДГ 806" sheetId="9" r:id="rId2"/>
    <sheet name="Минтранс 820" sheetId="7" r:id="rId3"/>
    <sheet name="Минстрой 832" sheetId="10" r:id="rId4"/>
    <sheet name="КГО 849" sheetId="8" r:id="rId5"/>
    <sheet name="Минприрод 853" sheetId="15" r:id="rId6"/>
    <sheet name="Минздрав 855" sheetId="5" r:id="rId7"/>
    <sheet name="Минсоц 856" sheetId="13" r:id="rId8"/>
    <sheet name="Минкульт 857" sheetId="12" r:id="rId9"/>
    <sheet name="Мингосимущ 866" sheetId="1" r:id="rId10"/>
    <sheet name="Минспорт 867" sheetId="3" r:id="rId11"/>
    <sheet name="ДИС 871" sheetId="6" r:id="rId12"/>
    <sheet name="Минобраз 874" sheetId="4" r:id="rId13"/>
    <sheet name="Комвет 881" sheetId="11" r:id="rId14"/>
  </sheets>
  <definedNames>
    <definedName name="_xlnm._FilterDatabase" localSheetId="9" hidden="1">'Мингосимущ 866'!$A$9:$U$34</definedName>
    <definedName name="_xlnm._FilterDatabase" localSheetId="6" hidden="1">'Минздрав 855'!$A$8:$S$53</definedName>
    <definedName name="_xlnm._FilterDatabase" localSheetId="12" hidden="1">'Минобраз 874'!$A$9:$Z$80</definedName>
    <definedName name="_xlnm._FilterDatabase" localSheetId="10" hidden="1">'Минспорт 867'!$A$9:$U$9</definedName>
    <definedName name="_xlnm.Print_Titles" localSheetId="8">'Минкульт 857'!$9:$9</definedName>
    <definedName name="_xlnm.Print_Titles" localSheetId="10">'Минспорт 867'!$6:$9</definedName>
    <definedName name="_xlnm.Print_Area" localSheetId="11">'ДИС 871'!$A$1:$S$12</definedName>
    <definedName name="_xlnm.Print_Area" localSheetId="4">'КГО 849'!$A$1:$S$14</definedName>
    <definedName name="_xlnm.Print_Area" localSheetId="13">'Комвет 881'!$A$1:$S$32</definedName>
    <definedName name="_xlnm.Print_Area" localSheetId="9">'Мингосимущ 866'!$A$1:$S$34</definedName>
    <definedName name="_xlnm.Print_Area" localSheetId="8">'Минкульт 857'!$A$1:$S$58</definedName>
    <definedName name="_xlnm.Print_Area" localSheetId="12">'Минобраз 874'!$A$1:$S$80</definedName>
    <definedName name="_xlnm.Print_Area" localSheetId="5">'Минприрод 853'!$A$1:$S$49</definedName>
    <definedName name="_xlnm.Print_Area" localSheetId="7">'Минсоц 856'!$A$1:$S$25</definedName>
    <definedName name="_xlnm.Print_Area" localSheetId="10">'Минспорт 867'!$A$1:$S$49</definedName>
    <definedName name="_xlnm.Print_Area" localSheetId="3">'Минстрой 832'!$A$1:$S$11</definedName>
    <definedName name="_xlnm.Print_Area" localSheetId="2">'Минтранс 820'!$A$1:$S$12</definedName>
    <definedName name="_xlnm.Print_Area" localSheetId="1">'УправДГ 806'!$A$1:$S$19</definedName>
  </definedNames>
  <calcPr calcId="125725"/>
</workbook>
</file>

<file path=xl/calcChain.xml><?xml version="1.0" encoding="utf-8"?>
<calcChain xmlns="http://schemas.openxmlformats.org/spreadsheetml/2006/main">
  <c r="J11" i="8"/>
  <c r="J13"/>
  <c r="J9"/>
  <c r="H11"/>
  <c r="H13"/>
  <c r="H9"/>
  <c r="N11" i="7" l="1"/>
  <c r="P49" i="15" l="1"/>
  <c r="R49"/>
  <c r="S49"/>
  <c r="O37" l="1"/>
  <c r="O36"/>
  <c r="H36"/>
  <c r="O35"/>
  <c r="H35"/>
  <c r="O34"/>
  <c r="O33"/>
  <c r="H33"/>
  <c r="O32"/>
  <c r="H32"/>
  <c r="O31"/>
  <c r="H31"/>
  <c r="O30"/>
  <c r="N29"/>
  <c r="N49" s="1"/>
  <c r="M29"/>
  <c r="G29"/>
  <c r="F29"/>
  <c r="O28"/>
  <c r="O27"/>
  <c r="M26"/>
  <c r="F26"/>
  <c r="O24"/>
  <c r="H24"/>
  <c r="O23"/>
  <c r="O22"/>
  <c r="F22"/>
  <c r="O21"/>
  <c r="O20"/>
  <c r="O18"/>
  <c r="J18"/>
  <c r="H18"/>
  <c r="Q17"/>
  <c r="O16"/>
  <c r="J16"/>
  <c r="H16"/>
  <c r="O15"/>
  <c r="J15"/>
  <c r="H15"/>
  <c r="Q14"/>
  <c r="J14"/>
  <c r="J13"/>
  <c r="O12"/>
  <c r="J12"/>
  <c r="H12"/>
  <c r="O11"/>
  <c r="J11"/>
  <c r="H11"/>
  <c r="O26" l="1"/>
  <c r="M49"/>
  <c r="Q49"/>
  <c r="H29"/>
  <c r="O29"/>
  <c r="O49" l="1"/>
  <c r="S25" i="13"/>
  <c r="R25"/>
  <c r="P25"/>
  <c r="M25"/>
  <c r="N21"/>
  <c r="O21" s="1"/>
  <c r="I21"/>
  <c r="G21"/>
  <c r="H21" s="1"/>
  <c r="Q20"/>
  <c r="O20"/>
  <c r="J20"/>
  <c r="H20"/>
  <c r="Q19"/>
  <c r="O19"/>
  <c r="J19"/>
  <c r="H19"/>
  <c r="Q18"/>
  <c r="O18"/>
  <c r="J18"/>
  <c r="H18"/>
  <c r="Q17"/>
  <c r="O17"/>
  <c r="J17"/>
  <c r="H17"/>
  <c r="Q16"/>
  <c r="O16"/>
  <c r="J16"/>
  <c r="H16"/>
  <c r="Q15"/>
  <c r="O15"/>
  <c r="J15"/>
  <c r="H15"/>
  <c r="Q14"/>
  <c r="O14"/>
  <c r="J14"/>
  <c r="H14"/>
  <c r="N12"/>
  <c r="O12" s="1"/>
  <c r="J12"/>
  <c r="H12"/>
  <c r="N11"/>
  <c r="G11"/>
  <c r="J11" s="1"/>
  <c r="N10"/>
  <c r="Q10" s="1"/>
  <c r="G10"/>
  <c r="J10" s="1"/>
  <c r="H10" l="1"/>
  <c r="H11"/>
  <c r="O10"/>
  <c r="Q12"/>
  <c r="N25"/>
  <c r="J21"/>
  <c r="Q11"/>
  <c r="Q21"/>
  <c r="O11"/>
  <c r="S58" i="12"/>
  <c r="M58"/>
  <c r="J57"/>
  <c r="H57"/>
  <c r="Q56"/>
  <c r="O56"/>
  <c r="G56"/>
  <c r="J56" s="1"/>
  <c r="Q55"/>
  <c r="O55"/>
  <c r="G55"/>
  <c r="J55" s="1"/>
  <c r="F55"/>
  <c r="Q54"/>
  <c r="O54"/>
  <c r="I54"/>
  <c r="J54" s="1"/>
  <c r="G54"/>
  <c r="H54" s="1"/>
  <c r="Q53"/>
  <c r="O53"/>
  <c r="J53"/>
  <c r="H53"/>
  <c r="Q52"/>
  <c r="O52"/>
  <c r="J52"/>
  <c r="H52"/>
  <c r="Q51"/>
  <c r="O51"/>
  <c r="J51"/>
  <c r="H51"/>
  <c r="Q50"/>
  <c r="O50"/>
  <c r="J50"/>
  <c r="H50"/>
  <c r="Q49"/>
  <c r="O49"/>
  <c r="J49"/>
  <c r="H49"/>
  <c r="Q48"/>
  <c r="O48"/>
  <c r="J48"/>
  <c r="H48"/>
  <c r="Q47"/>
  <c r="O47"/>
  <c r="J47"/>
  <c r="H47"/>
  <c r="J46"/>
  <c r="H46"/>
  <c r="Q45"/>
  <c r="O45"/>
  <c r="J45"/>
  <c r="H45"/>
  <c r="Q44"/>
  <c r="O44"/>
  <c r="J44"/>
  <c r="H44"/>
  <c r="Q43"/>
  <c r="O43"/>
  <c r="J43"/>
  <c r="H43"/>
  <c r="Q42"/>
  <c r="O42"/>
  <c r="J42"/>
  <c r="H42"/>
  <c r="Q41"/>
  <c r="O41"/>
  <c r="J41"/>
  <c r="H41"/>
  <c r="R40"/>
  <c r="P40"/>
  <c r="P58" s="1"/>
  <c r="N40"/>
  <c r="O40" s="1"/>
  <c r="J40"/>
  <c r="H40"/>
  <c r="Q39"/>
  <c r="O39"/>
  <c r="J39"/>
  <c r="H39"/>
  <c r="Q38"/>
  <c r="O38"/>
  <c r="J38"/>
  <c r="H38"/>
  <c r="Q37"/>
  <c r="O37"/>
  <c r="J37"/>
  <c r="H37"/>
  <c r="Q36"/>
  <c r="O36"/>
  <c r="J36"/>
  <c r="H36"/>
  <c r="Q35"/>
  <c r="O35"/>
  <c r="J35"/>
  <c r="H35"/>
  <c r="Q34"/>
  <c r="O34"/>
  <c r="J34"/>
  <c r="H34"/>
  <c r="Q33"/>
  <c r="O33"/>
  <c r="J33"/>
  <c r="H33"/>
  <c r="Q32"/>
  <c r="O32"/>
  <c r="J32"/>
  <c r="H32"/>
  <c r="N31"/>
  <c r="Q31" s="1"/>
  <c r="J31"/>
  <c r="H31"/>
  <c r="Q30"/>
  <c r="O30"/>
  <c r="J30"/>
  <c r="H30"/>
  <c r="Q29"/>
  <c r="O29"/>
  <c r="J29"/>
  <c r="H29"/>
  <c r="Q28"/>
  <c r="O28"/>
  <c r="J28"/>
  <c r="H28"/>
  <c r="J27"/>
  <c r="H27"/>
  <c r="Q26"/>
  <c r="O26"/>
  <c r="J26"/>
  <c r="H26"/>
  <c r="Q25"/>
  <c r="O25"/>
  <c r="J25"/>
  <c r="H25"/>
  <c r="Q24"/>
  <c r="O24"/>
  <c r="J24"/>
  <c r="H24"/>
  <c r="J23"/>
  <c r="H23"/>
  <c r="N22"/>
  <c r="Q22" s="1"/>
  <c r="J22"/>
  <c r="H22"/>
  <c r="Q21"/>
  <c r="O21"/>
  <c r="J21"/>
  <c r="H21"/>
  <c r="R20"/>
  <c r="Q20"/>
  <c r="S20" s="1"/>
  <c r="O20"/>
  <c r="J20"/>
  <c r="H20"/>
  <c r="Q19"/>
  <c r="O19"/>
  <c r="J19"/>
  <c r="H19"/>
  <c r="Q18"/>
  <c r="O18"/>
  <c r="J18"/>
  <c r="H18"/>
  <c r="S17"/>
  <c r="R17"/>
  <c r="O17"/>
  <c r="J17"/>
  <c r="H17"/>
  <c r="O16"/>
  <c r="N16"/>
  <c r="Q16" s="1"/>
  <c r="J16"/>
  <c r="H16"/>
  <c r="Q15"/>
  <c r="O15"/>
  <c r="J15"/>
  <c r="H15"/>
  <c r="Q14"/>
  <c r="O14"/>
  <c r="J14"/>
  <c r="H14"/>
  <c r="Q13"/>
  <c r="O13"/>
  <c r="J13"/>
  <c r="H13"/>
  <c r="Q12"/>
  <c r="O12"/>
  <c r="J12"/>
  <c r="H12"/>
  <c r="J11"/>
  <c r="H11"/>
  <c r="N10"/>
  <c r="O10" s="1"/>
  <c r="J10"/>
  <c r="H10"/>
  <c r="H56" l="1"/>
  <c r="O25" i="13"/>
  <c r="Q25"/>
  <c r="R58" i="12"/>
  <c r="O31"/>
  <c r="O22"/>
  <c r="Q40"/>
  <c r="H55"/>
  <c r="N58"/>
  <c r="Q10"/>
  <c r="O58" l="1"/>
  <c r="Q58"/>
  <c r="P32" i="11" l="1"/>
  <c r="Q32" s="1"/>
  <c r="N32"/>
  <c r="O32" s="1"/>
  <c r="M32"/>
  <c r="R31"/>
  <c r="S31" s="1"/>
  <c r="Q31"/>
  <c r="O31"/>
  <c r="K31"/>
  <c r="L31" s="1"/>
  <c r="J31"/>
  <c r="H31"/>
  <c r="R30"/>
  <c r="S30" s="1"/>
  <c r="Q30"/>
  <c r="O30"/>
  <c r="K30"/>
  <c r="L30" s="1"/>
  <c r="J30"/>
  <c r="H30"/>
  <c r="R29"/>
  <c r="S29" s="1"/>
  <c r="Q29"/>
  <c r="O29"/>
  <c r="K29"/>
  <c r="L29" s="1"/>
  <c r="J29"/>
  <c r="H29"/>
  <c r="R28"/>
  <c r="S28" s="1"/>
  <c r="Q28"/>
  <c r="O28"/>
  <c r="K28"/>
  <c r="L28" s="1"/>
  <c r="J28"/>
  <c r="H28"/>
  <c r="R27"/>
  <c r="S27" s="1"/>
  <c r="Q27"/>
  <c r="O27"/>
  <c r="K27"/>
  <c r="L27" s="1"/>
  <c r="J27"/>
  <c r="H27"/>
  <c r="R26"/>
  <c r="S26" s="1"/>
  <c r="K26"/>
  <c r="L26" s="1"/>
  <c r="R25"/>
  <c r="S25" s="1"/>
  <c r="K25"/>
  <c r="L25" s="1"/>
  <c r="R24"/>
  <c r="S24" s="1"/>
  <c r="Q24"/>
  <c r="O24"/>
  <c r="K24"/>
  <c r="L24" s="1"/>
  <c r="J24"/>
  <c r="H24"/>
  <c r="R23"/>
  <c r="S23" s="1"/>
  <c r="Q23"/>
  <c r="O23"/>
  <c r="K23"/>
  <c r="L23" s="1"/>
  <c r="J23"/>
  <c r="H23"/>
  <c r="R22"/>
  <c r="S22" s="1"/>
  <c r="Q22"/>
  <c r="O22"/>
  <c r="K22"/>
  <c r="L22" s="1"/>
  <c r="J22"/>
  <c r="H22"/>
  <c r="R21"/>
  <c r="S21" s="1"/>
  <c r="K21"/>
  <c r="L21" s="1"/>
  <c r="R20"/>
  <c r="S20" s="1"/>
  <c r="Q20"/>
  <c r="O20"/>
  <c r="K20"/>
  <c r="L20" s="1"/>
  <c r="J20"/>
  <c r="H20"/>
  <c r="R19"/>
  <c r="S19" s="1"/>
  <c r="Q19"/>
  <c r="O19"/>
  <c r="K19"/>
  <c r="L19" s="1"/>
  <c r="J19"/>
  <c r="H19"/>
  <c r="R18"/>
  <c r="S18" s="1"/>
  <c r="Q18"/>
  <c r="O18"/>
  <c r="K18"/>
  <c r="L18" s="1"/>
  <c r="J18"/>
  <c r="H18"/>
  <c r="R17"/>
  <c r="S17" s="1"/>
  <c r="Q17"/>
  <c r="O17"/>
  <c r="K17"/>
  <c r="L17" s="1"/>
  <c r="J17"/>
  <c r="H17"/>
  <c r="R16"/>
  <c r="S16" s="1"/>
  <c r="Q16"/>
  <c r="O16"/>
  <c r="K16"/>
  <c r="L16" s="1"/>
  <c r="J16"/>
  <c r="H16"/>
  <c r="R15"/>
  <c r="S15" s="1"/>
  <c r="Q15"/>
  <c r="O15"/>
  <c r="K15"/>
  <c r="L15" s="1"/>
  <c r="J15"/>
  <c r="H15"/>
  <c r="R14"/>
  <c r="R32" s="1"/>
  <c r="Q14"/>
  <c r="O14"/>
  <c r="K14"/>
  <c r="L14" s="1"/>
  <c r="J14"/>
  <c r="H14"/>
  <c r="S14" l="1"/>
  <c r="S32" s="1"/>
  <c r="J11" i="10" l="1"/>
  <c r="J10"/>
  <c r="H11"/>
  <c r="H10"/>
  <c r="Q12"/>
  <c r="N12"/>
  <c r="O12" s="1"/>
  <c r="P12"/>
  <c r="R12"/>
  <c r="S12"/>
  <c r="M12"/>
  <c r="Q10"/>
  <c r="O10"/>
  <c r="M19" i="9" l="1"/>
  <c r="Q18"/>
  <c r="O18"/>
  <c r="J18"/>
  <c r="H18"/>
  <c r="S15"/>
  <c r="S19" s="1"/>
  <c r="R15"/>
  <c r="R19" s="1"/>
  <c r="P15"/>
  <c r="P19" s="1"/>
  <c r="Q19" s="1"/>
  <c r="N15"/>
  <c r="N19" s="1"/>
  <c r="L15"/>
  <c r="K15"/>
  <c r="I15"/>
  <c r="G15"/>
  <c r="H15" s="1"/>
  <c r="Q14"/>
  <c r="O14"/>
  <c r="J14"/>
  <c r="H14"/>
  <c r="Q13"/>
  <c r="O13"/>
  <c r="J13"/>
  <c r="H13"/>
  <c r="J12"/>
  <c r="H12"/>
  <c r="J11"/>
  <c r="H11"/>
  <c r="Q10"/>
  <c r="O10"/>
  <c r="J10"/>
  <c r="H10"/>
  <c r="O19" l="1"/>
  <c r="J15"/>
  <c r="O15"/>
  <c r="Q15"/>
  <c r="N14" i="8"/>
  <c r="P14"/>
  <c r="Q14" s="1"/>
  <c r="M14"/>
  <c r="Q12"/>
  <c r="O12"/>
  <c r="Q10"/>
  <c r="O10"/>
  <c r="R9"/>
  <c r="S9" s="1"/>
  <c r="S14" s="1"/>
  <c r="Q9"/>
  <c r="O9"/>
  <c r="G12" i="7"/>
  <c r="F12"/>
  <c r="J11"/>
  <c r="J12"/>
  <c r="J10"/>
  <c r="H11"/>
  <c r="H12"/>
  <c r="H10"/>
  <c r="Q11"/>
  <c r="Q12"/>
  <c r="Q10"/>
  <c r="O11"/>
  <c r="O12"/>
  <c r="O10"/>
  <c r="N13"/>
  <c r="P13"/>
  <c r="R13"/>
  <c r="S13"/>
  <c r="M13"/>
  <c r="P16" i="6"/>
  <c r="Q16" s="1"/>
  <c r="R16"/>
  <c r="S16"/>
  <c r="N16"/>
  <c r="M16"/>
  <c r="Q13"/>
  <c r="Q14"/>
  <c r="Q15"/>
  <c r="Q12"/>
  <c r="O13"/>
  <c r="O14"/>
  <c r="O15"/>
  <c r="O12"/>
  <c r="I11"/>
  <c r="K11" s="1"/>
  <c r="L11" s="1"/>
  <c r="H11"/>
  <c r="S10"/>
  <c r="Q10"/>
  <c r="O10"/>
  <c r="H10"/>
  <c r="G10"/>
  <c r="I10" s="1"/>
  <c r="O14" i="8" l="1"/>
  <c r="O16" i="6"/>
  <c r="O13" i="7"/>
  <c r="Q13"/>
  <c r="R14" i="8"/>
  <c r="J11" i="6"/>
  <c r="J10"/>
  <c r="K10"/>
  <c r="L10" l="1"/>
  <c r="S53" i="5" l="1"/>
  <c r="R53"/>
  <c r="P53"/>
  <c r="N53"/>
  <c r="Q53" s="1"/>
  <c r="M53"/>
  <c r="Q52"/>
  <c r="O52"/>
  <c r="J52"/>
  <c r="H52"/>
  <c r="Q51"/>
  <c r="O51"/>
  <c r="J51"/>
  <c r="H51"/>
  <c r="Q50"/>
  <c r="O50"/>
  <c r="J50"/>
  <c r="H50"/>
  <c r="Q49"/>
  <c r="O49"/>
  <c r="J49"/>
  <c r="H49"/>
  <c r="Q48"/>
  <c r="O48"/>
  <c r="J48"/>
  <c r="H48"/>
  <c r="Q47"/>
  <c r="O47"/>
  <c r="J47"/>
  <c r="H47"/>
  <c r="Q46"/>
  <c r="O46"/>
  <c r="J46"/>
  <c r="H46"/>
  <c r="Q45"/>
  <c r="O45"/>
  <c r="J45"/>
  <c r="H45"/>
  <c r="Q44"/>
  <c r="O44"/>
  <c r="J44"/>
  <c r="H44"/>
  <c r="Q43"/>
  <c r="O43"/>
  <c r="J43"/>
  <c r="H43"/>
  <c r="Q42"/>
  <c r="O42"/>
  <c r="J42"/>
  <c r="H42"/>
  <c r="Q41"/>
  <c r="O41"/>
  <c r="J41"/>
  <c r="H41"/>
  <c r="Q40"/>
  <c r="O40"/>
  <c r="J40"/>
  <c r="Q39"/>
  <c r="O39"/>
  <c r="J39"/>
  <c r="Q38"/>
  <c r="O38"/>
  <c r="J38"/>
  <c r="Q37"/>
  <c r="O37"/>
  <c r="J37"/>
  <c r="H37"/>
  <c r="Q36"/>
  <c r="O36"/>
  <c r="J36"/>
  <c r="H36"/>
  <c r="Q35"/>
  <c r="O35"/>
  <c r="J35"/>
  <c r="H35"/>
  <c r="Q34"/>
  <c r="O34"/>
  <c r="J34"/>
  <c r="H34"/>
  <c r="Q33"/>
  <c r="O33"/>
  <c r="J33"/>
  <c r="H33"/>
  <c r="Q32"/>
  <c r="O32"/>
  <c r="J32"/>
  <c r="H32"/>
  <c r="Q31"/>
  <c r="O31"/>
  <c r="J31"/>
  <c r="H31"/>
  <c r="Q30"/>
  <c r="O30"/>
  <c r="J30"/>
  <c r="H30"/>
  <c r="Q29"/>
  <c r="O29"/>
  <c r="J29"/>
  <c r="H29"/>
  <c r="Q28"/>
  <c r="O28"/>
  <c r="J28"/>
  <c r="H28"/>
  <c r="Q27"/>
  <c r="O27"/>
  <c r="J27"/>
  <c r="H27"/>
  <c r="Q26"/>
  <c r="O26"/>
  <c r="J26"/>
  <c r="H26"/>
  <c r="Q25"/>
  <c r="O25"/>
  <c r="J25"/>
  <c r="H25"/>
  <c r="Q24"/>
  <c r="O24"/>
  <c r="J24"/>
  <c r="H24"/>
  <c r="Q23"/>
  <c r="O23"/>
  <c r="J23"/>
  <c r="H23"/>
  <c r="Q22"/>
  <c r="O22"/>
  <c r="J22"/>
  <c r="H22"/>
  <c r="Q21"/>
  <c r="O21"/>
  <c r="J21"/>
  <c r="H21"/>
  <c r="Q20"/>
  <c r="O20"/>
  <c r="J20"/>
  <c r="H20"/>
  <c r="Q19"/>
  <c r="O19"/>
  <c r="J19"/>
  <c r="H19"/>
  <c r="Q18"/>
  <c r="O18"/>
  <c r="J18"/>
  <c r="H18"/>
  <c r="Q17"/>
  <c r="O17"/>
  <c r="J17"/>
  <c r="H17"/>
  <c r="Q16"/>
  <c r="O16"/>
  <c r="J16"/>
  <c r="H16"/>
  <c r="Q15"/>
  <c r="O15"/>
  <c r="J15"/>
  <c r="H15"/>
  <c r="Q14"/>
  <c r="O14"/>
  <c r="J14"/>
  <c r="H14"/>
  <c r="Q13"/>
  <c r="O13"/>
  <c r="J13"/>
  <c r="E13"/>
  <c r="D13"/>
  <c r="Q12"/>
  <c r="O12"/>
  <c r="J12"/>
  <c r="H12"/>
  <c r="Q11"/>
  <c r="O11"/>
  <c r="J11"/>
  <c r="H11"/>
  <c r="Q10"/>
  <c r="O10"/>
  <c r="J10"/>
  <c r="H10"/>
  <c r="Q9"/>
  <c r="O9"/>
  <c r="J9"/>
  <c r="H9"/>
  <c r="O53" l="1"/>
  <c r="Q11" i="4"/>
  <c r="Q12"/>
  <c r="Q14"/>
  <c r="Q15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10"/>
  <c r="O11"/>
  <c r="O12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2"/>
  <c r="O63"/>
  <c r="O64"/>
  <c r="O65"/>
  <c r="O66"/>
  <c r="O67"/>
  <c r="O68"/>
  <c r="O69"/>
  <c r="O70"/>
  <c r="O71"/>
  <c r="O72"/>
  <c r="O73"/>
  <c r="O74"/>
  <c r="O75"/>
  <c r="O76"/>
  <c r="O77"/>
  <c r="O10"/>
  <c r="J11"/>
  <c r="J12"/>
  <c r="J13"/>
  <c r="J14"/>
  <c r="J15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2"/>
  <c r="H63"/>
  <c r="H64"/>
  <c r="H65"/>
  <c r="H66"/>
  <c r="H67"/>
  <c r="H68"/>
  <c r="H69"/>
  <c r="H70"/>
  <c r="H71"/>
  <c r="H72"/>
  <c r="H73"/>
  <c r="H74"/>
  <c r="H75"/>
  <c r="H76"/>
  <c r="H77"/>
  <c r="H10"/>
  <c r="M80"/>
  <c r="A11"/>
  <c r="N13"/>
  <c r="O13" s="1"/>
  <c r="N80" l="1"/>
  <c r="P13"/>
  <c r="O80" l="1"/>
  <c r="Q13"/>
  <c r="P80"/>
  <c r="S13"/>
  <c r="S80" s="1"/>
  <c r="R13"/>
  <c r="R80" s="1"/>
  <c r="Q31" i="1" l="1"/>
  <c r="O29"/>
  <c r="O24"/>
  <c r="O22"/>
  <c r="H24"/>
  <c r="H22"/>
  <c r="H29"/>
  <c r="H27"/>
  <c r="H26"/>
  <c r="H25"/>
  <c r="H23"/>
  <c r="H20"/>
  <c r="H19"/>
  <c r="H18"/>
  <c r="H17"/>
  <c r="H16"/>
  <c r="H15"/>
  <c r="H14"/>
  <c r="Q80" i="4" l="1"/>
  <c r="R48" i="3" l="1"/>
  <c r="S48" s="1"/>
  <c r="Q48"/>
  <c r="O48"/>
  <c r="J48"/>
  <c r="H48"/>
  <c r="R47"/>
  <c r="S47" s="1"/>
  <c r="Q47"/>
  <c r="O47"/>
  <c r="J47"/>
  <c r="H47"/>
  <c r="R46"/>
  <c r="S46" s="1"/>
  <c r="Q46"/>
  <c r="O46"/>
  <c r="J46"/>
  <c r="H46"/>
  <c r="R45"/>
  <c r="S45" s="1"/>
  <c r="Q45"/>
  <c r="O45"/>
  <c r="J45"/>
  <c r="H45"/>
  <c r="R44"/>
  <c r="S44" s="1"/>
  <c r="Q44"/>
  <c r="O44"/>
  <c r="J44"/>
  <c r="H44"/>
  <c r="R43"/>
  <c r="S43" s="1"/>
  <c r="Q43"/>
  <c r="O43"/>
  <c r="J43"/>
  <c r="H43"/>
  <c r="R42"/>
  <c r="S42" s="1"/>
  <c r="Q42"/>
  <c r="O42"/>
  <c r="J42"/>
  <c r="H42"/>
  <c r="S41"/>
  <c r="R41"/>
  <c r="Q41"/>
  <c r="O41"/>
  <c r="J41"/>
  <c r="H41"/>
  <c r="R40"/>
  <c r="S40" s="1"/>
  <c r="Q40"/>
  <c r="O40"/>
  <c r="J40"/>
  <c r="H40"/>
  <c r="R39"/>
  <c r="S39" s="1"/>
  <c r="Q39"/>
  <c r="O39"/>
  <c r="J39"/>
  <c r="H39"/>
  <c r="R38"/>
  <c r="S38" s="1"/>
  <c r="Q38"/>
  <c r="O38"/>
  <c r="J38"/>
  <c r="H38"/>
  <c r="P37"/>
  <c r="R37" s="1"/>
  <c r="S37" s="1"/>
  <c r="N37"/>
  <c r="O37" s="1"/>
  <c r="M37"/>
  <c r="G37"/>
  <c r="J37" s="1"/>
  <c r="F37"/>
  <c r="H37" s="1"/>
  <c r="P36"/>
  <c r="P49" s="1"/>
  <c r="N36"/>
  <c r="M36"/>
  <c r="M49" s="1"/>
  <c r="J36"/>
  <c r="H36"/>
  <c r="F36"/>
  <c r="R35"/>
  <c r="S35" s="1"/>
  <c r="Q35"/>
  <c r="O35"/>
  <c r="J35"/>
  <c r="H35"/>
  <c r="S34"/>
  <c r="R34"/>
  <c r="Q34"/>
  <c r="O34"/>
  <c r="J34"/>
  <c r="H34"/>
  <c r="R33"/>
  <c r="S33" s="1"/>
  <c r="Q33"/>
  <c r="O33"/>
  <c r="J33"/>
  <c r="H33"/>
  <c r="S32"/>
  <c r="R32"/>
  <c r="Q32"/>
  <c r="O32"/>
  <c r="J32"/>
  <c r="H32"/>
  <c r="R31"/>
  <c r="S31" s="1"/>
  <c r="Q31"/>
  <c r="O31"/>
  <c r="J31"/>
  <c r="H31"/>
  <c r="S30"/>
  <c r="R30"/>
  <c r="Q30"/>
  <c r="O30"/>
  <c r="J30"/>
  <c r="H30"/>
  <c r="R29"/>
  <c r="S29" s="1"/>
  <c r="Q29"/>
  <c r="O29"/>
  <c r="J29"/>
  <c r="H29"/>
  <c r="S28"/>
  <c r="R28"/>
  <c r="Q28"/>
  <c r="O28"/>
  <c r="J28"/>
  <c r="H28"/>
  <c r="R27"/>
  <c r="S27" s="1"/>
  <c r="Q27"/>
  <c r="O27"/>
  <c r="J27"/>
  <c r="H27"/>
  <c r="S26"/>
  <c r="R26"/>
  <c r="Q26"/>
  <c r="J26"/>
  <c r="H26"/>
  <c r="R25"/>
  <c r="S25" s="1"/>
  <c r="Q25"/>
  <c r="O25"/>
  <c r="J25"/>
  <c r="H25"/>
  <c r="R24"/>
  <c r="S24" s="1"/>
  <c r="Q24"/>
  <c r="O24"/>
  <c r="J24"/>
  <c r="H24"/>
  <c r="R23"/>
  <c r="S23" s="1"/>
  <c r="Q23"/>
  <c r="O23"/>
  <c r="J23"/>
  <c r="H23"/>
  <c r="R22"/>
  <c r="S22" s="1"/>
  <c r="Q22"/>
  <c r="O22"/>
  <c r="J22"/>
  <c r="H22"/>
  <c r="R21"/>
  <c r="S21" s="1"/>
  <c r="Q21"/>
  <c r="O21"/>
  <c r="J21"/>
  <c r="H21"/>
  <c r="R20"/>
  <c r="S20" s="1"/>
  <c r="Q20"/>
  <c r="O20"/>
  <c r="J20"/>
  <c r="H20"/>
  <c r="S19"/>
  <c r="R19"/>
  <c r="Q19"/>
  <c r="O19"/>
  <c r="J19"/>
  <c r="H19"/>
  <c r="R18"/>
  <c r="S18" s="1"/>
  <c r="Q18"/>
  <c r="O18"/>
  <c r="J18"/>
  <c r="H18"/>
  <c r="R17"/>
  <c r="S17" s="1"/>
  <c r="Q17"/>
  <c r="O17"/>
  <c r="J17"/>
  <c r="H17"/>
  <c r="R16"/>
  <c r="S16" s="1"/>
  <c r="Q16"/>
  <c r="O16"/>
  <c r="J16"/>
  <c r="H16"/>
  <c r="R15"/>
  <c r="S15" s="1"/>
  <c r="Q15"/>
  <c r="O15"/>
  <c r="J15"/>
  <c r="H15"/>
  <c r="J14"/>
  <c r="H14"/>
  <c r="R13"/>
  <c r="S13" s="1"/>
  <c r="Q13"/>
  <c r="O13"/>
  <c r="J13"/>
  <c r="H13"/>
  <c r="J12"/>
  <c r="H12"/>
  <c r="R11"/>
  <c r="S11" s="1"/>
  <c r="Q11"/>
  <c r="O11"/>
  <c r="J11"/>
  <c r="H11"/>
  <c r="R36" l="1"/>
  <c r="S36" s="1"/>
  <c r="S49" s="1"/>
  <c r="Q37"/>
  <c r="Q36"/>
  <c r="O36"/>
  <c r="N49"/>
  <c r="R49" l="1"/>
  <c r="Q49"/>
  <c r="O49"/>
  <c r="A7" i="2" l="1"/>
  <c r="A8" s="1"/>
  <c r="A9" s="1"/>
  <c r="A10" s="1"/>
  <c r="A11" s="1"/>
  <c r="A12" s="1"/>
  <c r="A13" s="1"/>
  <c r="A14" s="1"/>
  <c r="A15" s="1"/>
  <c r="A16" s="1"/>
  <c r="A17" s="1"/>
  <c r="A18" s="1"/>
  <c r="M34" i="1"/>
  <c r="S33"/>
  <c r="S32"/>
  <c r="S30"/>
  <c r="R30"/>
  <c r="N30"/>
  <c r="Q30" s="1"/>
  <c r="S28"/>
  <c r="R28"/>
  <c r="P28"/>
  <c r="N28"/>
  <c r="J28"/>
  <c r="S27"/>
  <c r="R27"/>
  <c r="P27"/>
  <c r="N27"/>
  <c r="O27" s="1"/>
  <c r="J27"/>
  <c r="S26"/>
  <c r="R26"/>
  <c r="P26"/>
  <c r="Q26" s="1"/>
  <c r="N26"/>
  <c r="O26" s="1"/>
  <c r="J26"/>
  <c r="S25"/>
  <c r="R25"/>
  <c r="P25"/>
  <c r="N25"/>
  <c r="O25" s="1"/>
  <c r="J25"/>
  <c r="S23"/>
  <c r="R23"/>
  <c r="P23"/>
  <c r="N23"/>
  <c r="O23" s="1"/>
  <c r="J23"/>
  <c r="N21"/>
  <c r="S20"/>
  <c r="R20"/>
  <c r="P20"/>
  <c r="Q20" s="1"/>
  <c r="N20"/>
  <c r="O20" s="1"/>
  <c r="J20"/>
  <c r="S19"/>
  <c r="R19"/>
  <c r="P19"/>
  <c r="N19"/>
  <c r="O19" s="1"/>
  <c r="J19"/>
  <c r="P18"/>
  <c r="Q18" s="1"/>
  <c r="N18"/>
  <c r="O18" s="1"/>
  <c r="J18"/>
  <c r="S17"/>
  <c r="R17"/>
  <c r="P17"/>
  <c r="N17"/>
  <c r="O17" s="1"/>
  <c r="J17"/>
  <c r="P16"/>
  <c r="Q16" s="1"/>
  <c r="N16"/>
  <c r="O16" s="1"/>
  <c r="J16"/>
  <c r="P15"/>
  <c r="Q15" s="1"/>
  <c r="N15"/>
  <c r="O15" s="1"/>
  <c r="J15"/>
  <c r="S14"/>
  <c r="R14"/>
  <c r="P14"/>
  <c r="Q14" s="1"/>
  <c r="N14"/>
  <c r="O14" s="1"/>
  <c r="J14"/>
  <c r="S13"/>
  <c r="R13"/>
  <c r="P13"/>
  <c r="N13"/>
  <c r="J13"/>
  <c r="S12"/>
  <c r="R12"/>
  <c r="P12"/>
  <c r="Q12" s="1"/>
  <c r="N12"/>
  <c r="J12"/>
  <c r="S11"/>
  <c r="R11"/>
  <c r="P11"/>
  <c r="Q11" s="1"/>
  <c r="N11"/>
  <c r="J11"/>
  <c r="S10"/>
  <c r="R10"/>
  <c r="P10"/>
  <c r="Q10" s="1"/>
  <c r="N10"/>
  <c r="J10"/>
  <c r="Q27" l="1"/>
  <c r="Q23"/>
  <c r="Q28"/>
  <c r="Q13"/>
  <c r="Q17"/>
  <c r="Q19"/>
  <c r="Q21"/>
  <c r="O21"/>
  <c r="Q25"/>
  <c r="N34"/>
  <c r="R34"/>
  <c r="G19" i="2" s="1"/>
  <c r="P34" i="1"/>
  <c r="Q34" s="1"/>
  <c r="S34"/>
  <c r="D19" i="2"/>
  <c r="H19"/>
  <c r="F19" l="1"/>
  <c r="O34" i="1"/>
  <c r="E19" i="2" l="1"/>
</calcChain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сд,солнышко,ди,ди для престарелых,журавушка1002,срц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кц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доверие,днп,рц с оо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кичиер,журавушка 0707</t>
        </r>
      </text>
    </comment>
  </commentList>
</comments>
</file>

<file path=xl/sharedStrings.xml><?xml version="1.0" encoding="utf-8"?>
<sst xmlns="http://schemas.openxmlformats.org/spreadsheetml/2006/main" count="1947" uniqueCount="641">
  <si>
    <t xml:space="preserve">Сведения об объемах оказания государственных услуг (выполнения работ) государственными учреждениями Республики Марий Эл, а также объемах их финансового обеспечения </t>
  </si>
  <si>
    <t xml:space="preserve">Орган исполнительной власти, осуществляющий функции и полномочия учредителя (главный распорядитель): </t>
  </si>
  <si>
    <t>Министерство государственного имущества по Республике Марий Эл</t>
  </si>
  <si>
    <t>№ п/п</t>
  </si>
  <si>
    <t>Наименование государственной услуги (работы)*</t>
  </si>
  <si>
    <t>Содержание государственной услуги (работы)</t>
  </si>
  <si>
    <t>Финансовое обеспечение выполнения государственного задания на оказание государственной услуги (выполнение работы)</t>
  </si>
  <si>
    <t>наименование показателя</t>
  </si>
  <si>
    <t xml:space="preserve">единица измерения </t>
  </si>
  <si>
    <t>значение показателя</t>
  </si>
  <si>
    <t>объем, тыс.рублей</t>
  </si>
  <si>
    <t>2021 год (факт)</t>
  </si>
  <si>
    <t>2022 год (оценка исполнения)</t>
  </si>
  <si>
    <t>темп роста 2022г к 2021 г,%</t>
  </si>
  <si>
    <t>2023 год (план)</t>
  </si>
  <si>
    <t>темп роста 2023г к 2022 г,%</t>
  </si>
  <si>
    <t>2024 год (план)</t>
  </si>
  <si>
    <t>2025 год (план)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</si>
  <si>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</si>
  <si>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</si>
  <si>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</si>
  <si>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</si>
  <si>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</si>
  <si>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</si>
  <si>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</si>
  <si>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</si>
  <si>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</si>
  <si>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</si>
  <si>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</si>
  <si>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</si>
  <si>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</si>
  <si>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</si>
  <si>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</si>
  <si>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</si>
  <si>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</si>
  <si>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</si>
  <si>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Рассмотрение заявлений об исправлении ошибок, допущенных при определении кадастровой стоимости</t>
  </si>
  <si>
    <t>Количество поступивших заявлений об исправлении ошибок, допущенных при определении кадастровой стоимости</t>
  </si>
  <si>
    <t>Единица</t>
  </si>
  <si>
    <t>-</t>
  </si>
  <si>
    <t>1</t>
  </si>
  <si>
    <t>100</t>
  </si>
  <si>
    <t>Рассмотрение обращений о предоставлении разъяснений, связанных с определением кадастровой стоимости</t>
  </si>
  <si>
    <t>Количество поступивших  обращений о предоставлении разъяснений, связанных с определением кадастровой стоимости</t>
  </si>
  <si>
    <t>Рассмотрение деклараций о характеристиках объектов недвижимости</t>
  </si>
  <si>
    <t>Количество поступивших деклараций о характеристиках объектов недвижимости</t>
  </si>
  <si>
    <t>20</t>
  </si>
  <si>
    <t>26</t>
  </si>
  <si>
    <t>Рассмотрение замечаний, связанных с определением кадастровой стоимости</t>
  </si>
  <si>
    <t>Количество поступивших замечаний, связанных с определением кадастровой стоимости</t>
  </si>
  <si>
    <t>200</t>
  </si>
  <si>
    <t>Сбор, обработка, систематизация и накопление информации в целях определения кадастровой стоимости</t>
  </si>
  <si>
    <t>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</si>
  <si>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Объем собранной информации</t>
  </si>
  <si>
    <t>Определение кадастровой стоимости объектов недвижимости в соответствии со статьей 14 Федерального закона от 03.07.2016 № 237-ФЗ "О государственной кадастровой оценке"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</si>
  <si>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</si>
  <si>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Количество объектов недвижимости, для которых определена кадастровая стоимость</t>
  </si>
  <si>
    <t xml:space="preserve">Единица </t>
  </si>
  <si>
    <t>383001</t>
  </si>
  <si>
    <t>508000</t>
  </si>
  <si>
    <t>Хранение отчетов и иных документов, формируемых в ходе определения кадастровой стоимости</t>
  </si>
  <si>
    <t>Количество хранящихся отчетов об итогах государственной кадастровой оценки с приложением копий документов и материалов, использованных при определении кадастровой стоимости</t>
  </si>
  <si>
    <t>Постоянное хранение технических паспортов, оценочной и иной хранившейся по состоянию на 1 января 2013 года в органах и организациях по государственному техническому учету и (или) технической инвентаризации учетно-технической документации об объектах государственного технического учета и технической инвентаризации (регистрационных книг, реестров, копий правоустанавливающих документов)</t>
  </si>
  <si>
    <t>Хранение технических паспортов, оценочной и иной хранившейся по состоянию на 1 января 2013 года в органах и организациях по государственному техническому учету и (или) технической инвентаризации учетно-технической документации об объектах государственного технического учета и технической инвентаризации (регистрационных книг, реестров, копий правоустанавливающих документов и тому подобного)</t>
  </si>
  <si>
    <t>Количество хранящихся документов</t>
  </si>
  <si>
    <t>140506</t>
  </si>
  <si>
    <t>Предоставление копий учетно-технической документации и содержащихся в них сведений</t>
  </si>
  <si>
    <t>Предоставление копий технических паспортов, оценочной и иной хранившейся по состоянию на 1 января 2013 года в органах и организациях по государственному техническому учету и (или) технической инвентаризации учетно-технической документации об объектах государственного технического учета и технической инвентаризации и содержащихся в них сведений</t>
  </si>
  <si>
    <t>Проведение работ по описанию местоположения границ населенных пунктов для внесения в Единый государственный реестр недвижимости</t>
  </si>
  <si>
    <t>Количество подготовленных комплектов документов</t>
  </si>
  <si>
    <t>573</t>
  </si>
  <si>
    <t>383</t>
  </si>
  <si>
    <t>Проведение работ по описанию местоположения границ территориальных зон для внесения в Единый государственный реестр недвижимости</t>
  </si>
  <si>
    <t>1719</t>
  </si>
  <si>
    <t>1600</t>
  </si>
  <si>
    <t>Проведение землеустроительных работ для внесения в Единый государственный реестр недвижимости сведений о границах муниципальных образований</t>
  </si>
  <si>
    <t xml:space="preserve"> Подготовка землеустроительного дела и сведений, необходимых для внесения в Единый государственный реестр недвижимости</t>
  </si>
  <si>
    <t>Количество подготовленных комплектов документов, направленных на государственную экспертизу</t>
  </si>
  <si>
    <t>44</t>
  </si>
  <si>
    <t>Проведение землеустроительных работ по описанию местоположения границ охотничих угодий для внесения в Единый государственный реестр недвижимости</t>
  </si>
  <si>
    <t>29</t>
  </si>
  <si>
    <t>22</t>
  </si>
  <si>
    <t>Проведение работ по описанию местоположения границ особо охраняемых природных территорий для внесения в Единый государственный реестр недвижимости</t>
  </si>
  <si>
    <t>Определение кадастровой стоимости объектов недвижимости в соответствии со статьей 16 Федерального закона от 03.07.2016 №237-ФЗ "О государственной кадастровой оценке"</t>
  </si>
  <si>
    <t>Определение кадастровой стоимости вновь учтенных объектов недвижимости, ранее учтенных объектов недвижимости в случае внесения в Единый государственный реестр недвижимости сведений о них и объектов недвижимости, в сведения Единого государственного реестра недвижимости о которых внесены изменения</t>
  </si>
  <si>
    <t>Проведение работ по описанию местоположения границ (границ частей) Республики Марий Эл</t>
  </si>
  <si>
    <t>Подготовка проекта описания местоположения границ (границ частей) Республики Марий Эл (карта (план))</t>
  </si>
  <si>
    <t>Рассмотрение заявлений об установлении кадастровой стоимости объектов недвижимости в размере их рыночной стоимости</t>
  </si>
  <si>
    <t xml:space="preserve">Количество поступивших заявлений об установлении кадастровой стоимости объектов недвижимости в размере их рыночной стоимости </t>
  </si>
  <si>
    <t>30</t>
  </si>
  <si>
    <t>Орган исполнительной власти, осуществляющий функции и полномочия учредителя (главный распорядитель)</t>
  </si>
  <si>
    <t>Ведомство</t>
  </si>
  <si>
    <t>Управление делами Главы Республики Марий Эл и Правительства Республики Марий Эл</t>
  </si>
  <si>
    <t xml:space="preserve">Министерство транспорта и дорожного хозяйства Республики Марий Эл </t>
  </si>
  <si>
    <t>Министерство строительства, архитектуры и жилищно-коммунального хозяйства Республики Марий Эл</t>
  </si>
  <si>
    <t>Комитет гражданской обороны и защиты населения Республики Марий Эл</t>
  </si>
  <si>
    <t>Министерство природных ресурсов, экологии и охраны окружающей среды Республики Марий Эл</t>
  </si>
  <si>
    <t>Министерство здравоохранения Республики Марий Эл</t>
  </si>
  <si>
    <t>Министерство социального развития Республики Марий Эл</t>
  </si>
  <si>
    <t>Министерство культуры, печати и по делам национальностей Республики Марий Эл</t>
  </si>
  <si>
    <t>Министерство государственного имущества Республики Марий Эл</t>
  </si>
  <si>
    <t>Министерство молодежной политики, спорта и туризма Республики Марий Эл</t>
  </si>
  <si>
    <t>Департамент информатизации и связи Республики Марий Эл</t>
  </si>
  <si>
    <t>Министерство образования и науки Республики Марий Эл</t>
  </si>
  <si>
    <t>Комитет ветеринарии Республики Марий Эл</t>
  </si>
  <si>
    <t>ВСЕГО</t>
  </si>
  <si>
    <t>Финансовое обеспечение выполнения государственного задания на оказание государственной услуги (выполнение работы), тыс.рублей</t>
  </si>
  <si>
    <t>Обеспечение доступа к объектам спорта</t>
  </si>
  <si>
    <t xml:space="preserve"> Обеспечение доступа к объектам спорта</t>
  </si>
  <si>
    <t>шт.</t>
  </si>
  <si>
    <t>количество часов обеспечения доступа к объектам спорта</t>
  </si>
  <si>
    <t>ч.</t>
  </si>
  <si>
    <t>Обеспечение доступа к открытым спортивным объектам для свободного пользования/спортивная площадка</t>
  </si>
  <si>
    <t>Обеспечение доступа к открытым спортивным объектам</t>
  </si>
  <si>
    <t>Количество часов обеспечения доступа к открытым спортивным объектам</t>
  </si>
  <si>
    <t>Организация и проведение официальных физкультурных (физкультурно-оздоровительных) мероприятий</t>
  </si>
  <si>
    <t>Организация и проведение официальных физкультурных (физкультурно-оздоровительных) мероприятий: Мероприятия</t>
  </si>
  <si>
    <t xml:space="preserve">Количество  мероприятий </t>
  </si>
  <si>
    <t>шт</t>
  </si>
  <si>
    <t>Организация и проведение мероприятий по выполнению нормативов испытаний ВФСК ГТО</t>
  </si>
  <si>
    <t>Уровни проведения соревнований: Региональные</t>
  </si>
  <si>
    <t>Количество спортивных мероприятий</t>
  </si>
  <si>
    <t>Организация и проведение официальных спортивных мероприятий</t>
  </si>
  <si>
    <t>Уровни проведения соревнований: Всероссийские,
 Межрегиональные</t>
  </si>
  <si>
    <t>Уровни проведения соревнований: Международные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</si>
  <si>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</si>
  <si>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спортивно-оздоровительной работы по развитию физической культуры с спорта среди различных групп населения: численность граждан</t>
  </si>
  <si>
    <t>Количество человек</t>
  </si>
  <si>
    <t>Человек</t>
  </si>
  <si>
    <t>Проведение занятий физкультурно­спортивной направленности и по месту проживания граждан</t>
  </si>
  <si>
    <t>Проведение занятий физкультурно­спортивной направленности и по месту проживания граждан: Мероприятия</t>
  </si>
  <si>
    <t xml:space="preserve">Количество занятий </t>
  </si>
  <si>
    <t>Организация мероприятий по научно-методическому обеспечению спортивных сборных команд</t>
  </si>
  <si>
    <t>Организация мероприятий по научно-методическому обеспечению спортивных сборных команд: Семинары</t>
  </si>
  <si>
    <t>Организация мероприятий по антидопинговому обеспечению спортивных сборных команд</t>
  </si>
  <si>
    <t>Организация мероприятий по антидопинговому обеспечению спортивных сборных команд: Семинары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</si>
  <si>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</si>
  <si>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Организация и обеспечение координации деятельности физкультурно-спортивных организаций по подготовке спортивного резерва: Консультации</t>
  </si>
  <si>
    <t>Участие в организации официальных спортивных мероприятий</t>
  </si>
  <si>
    <t>Уровни проведения соревнований: Всероссийские</t>
  </si>
  <si>
    <t>Организация и обеспечение подготовки спортивного резерва</t>
  </si>
  <si>
    <t>Выполнение работ по подготовке спортивного резерва: Выполнение работ по подготовке спортивного резерва</t>
  </si>
  <si>
    <t>Обеспечение участия спортивных сборных команд в официальных спортивных мероприятиях</t>
  </si>
  <si>
    <t>Уровни проведения соревнований: Межрегиональные</t>
  </si>
  <si>
    <t>Обеспечение участия спортивных сборных команд в официальных мероприятиях</t>
  </si>
  <si>
    <t>Спортивная подготовка по олимпийским видам спорта</t>
  </si>
  <si>
    <t xml:space="preserve">Число лиц, прошедших спортивную подготовку на этапах спортивной подготовки </t>
  </si>
  <si>
    <t>Спортивная подготовка по неолимпийским видам спорта</t>
  </si>
  <si>
    <t>Неолимпийские виды спорта</t>
  </si>
  <si>
    <t>Спортивная подготовка по спорту лиц с поражением ОДА</t>
  </si>
  <si>
    <t>Число лиц, прошедших спортивную подготовку на этапах спортивной подготовки</t>
  </si>
  <si>
    <t xml:space="preserve"> Спортивная подготовка по спорту слепых</t>
  </si>
  <si>
    <t>Спортивная подготовка по спорту глухих</t>
  </si>
  <si>
    <t xml:space="preserve"> Спортивная подготовка по спорту лиц с интеллектуальными нарушениями</t>
  </si>
  <si>
    <t>Обеспечение участия членов спортивных делегаций Республики Марий Эл в официальных физкультурных мероприятиях</t>
  </si>
  <si>
    <t>Количество физкультурных мероприятий</t>
  </si>
  <si>
    <t>Обеспечение участия лиц, проходящих спортивную подготовку, в спортивных мероприятиях</t>
  </si>
  <si>
    <t>Обеспечение участия лиц, проходящих спортивную подготовку, в спортивных мероприятиях: Мероприятия</t>
  </si>
  <si>
    <t>Реализация основных профессиональных программ среднего профессионального образования программ подготовки специалистов среднего звена на базе основного общего образования по укрепленной группе направлений подготовки и специальностей (профессий) "49.00.00 Физическая культура и спорт" углубленной подготовки в училищах олимпийского резерва</t>
  </si>
  <si>
    <t xml:space="preserve"> Специальности по направлению подготовки "49.00.00 Физическая культура и спорт"</t>
  </si>
  <si>
    <t>Число обучающихся</t>
  </si>
  <si>
    <t>Содержание детей</t>
  </si>
  <si>
    <t>содержание детей</t>
  </si>
  <si>
    <t>Первичная медико-санитарная помощь</t>
  </si>
  <si>
    <t>Проведение углубленных медицинских обследований спортсменов спортивных сборных команд</t>
  </si>
  <si>
    <t xml:space="preserve"> Число осмотров </t>
  </si>
  <si>
    <t xml:space="preserve">Проведение углубленных медицинских обследований спортсменов </t>
  </si>
  <si>
    <t xml:space="preserve"> Число спортсменов 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</si>
  <si>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</si>
  <si>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Федерации: Медицинские услуги</t>
  </si>
  <si>
    <t xml:space="preserve">Количество выполненных работ </t>
  </si>
  <si>
    <t>ЕД</t>
  </si>
  <si>
    <t xml:space="preserve">Обязательные периодические медицинские осмотры </t>
  </si>
  <si>
    <t>Число сотрудников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</si>
  <si>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</si>
  <si>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Количество мероприятий</t>
  </si>
  <si>
    <t>Организация досуга детей, подростков и молодежи</t>
  </si>
  <si>
    <t>Организация 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 интеллектуального потенциалов подростков и молодежи</t>
  </si>
  <si>
    <t>Организация 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</si>
  <si>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</si>
  <si>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r>
      <t xml:space="preserve">Показатели, характеризующие </t>
    </r>
    <r>
      <rPr>
        <u/>
        <sz val="11"/>
        <color theme="1"/>
        <rFont val="Times New Roman"/>
        <family val="1"/>
        <charset val="204"/>
      </rPr>
      <t>объем государственной услуги (работы)</t>
    </r>
  </si>
  <si>
    <t>Реализация основных общеобразовательных программ  дошкольного образования</t>
  </si>
  <si>
    <t>человек</t>
  </si>
  <si>
    <t>Реализация основных общеобразовательных программ 
начального общего образования</t>
  </si>
  <si>
    <t>Реализация основных общеобразовательных программ 
начального общего образования  (адаптированная образовательная программа)</t>
  </si>
  <si>
    <t>Реализация основных общеобразовательных программ 
основного общего образования</t>
  </si>
  <si>
    <t>Реализация основных общеобразовательных программ 
основного общего образования  (образовательная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</si>
  <si>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
основного общего образования  (адаптированная образовательная программа)</t>
  </si>
  <si>
    <t>Реализация основных общеобразовательных программ 
среднего общего образования</t>
  </si>
  <si>
    <t>Реализация основных общеобразовательных программ 
среднего общего образования  (образовательная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</si>
  <si>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
среднего общего образования  (адаптированная образовательная программа)</t>
  </si>
  <si>
    <t xml:space="preserve">Реализация дополнительных общеразвивающих программ </t>
  </si>
  <si>
    <t>Число человеко-часов пребывания</t>
  </si>
  <si>
    <t>человеко-час</t>
  </si>
  <si>
    <t>Предоставление питания</t>
  </si>
  <si>
    <t>Коррекционно-развивающая, компенсирующая и логопедическая 
помощь обучающимся</t>
  </si>
  <si>
    <t>Психолого-педагогическое 
консультирование  обучающихся, 
их родителей (законных представителей) 
и педагогических работников</t>
  </si>
  <si>
    <t xml:space="preserve">Число обучающихся, их родителей (законных представителей) и педагогических работников </t>
  </si>
  <si>
    <t>Реализация основных общеобразовательных программ  дошкольного образования 
(адаптированная образовательная программа)</t>
  </si>
  <si>
    <t>Присмотр и уход
(адаптированная образовательная программа)</t>
  </si>
  <si>
    <t>Реализация дополнительных общеразвивающих программ 
(адаптированная образовательная программа)</t>
  </si>
  <si>
    <t>Содержание детей
(обучающиеся с ОВЗ)</t>
  </si>
  <si>
    <t>Предоставление питания
(обучающиеся с ОВЗ)</t>
  </si>
  <si>
    <t>Коррекционно-развивающая, компенсирующая и логопедическая 
помощь обучающимся (обучающиеся с ОВЗ)</t>
  </si>
  <si>
    <t>Психолого-педагогическое 
консультирование  обучающихся, 
их родителей (законных представителей) 
и педагогических работников (обучающиеся с ОВЗ)</t>
  </si>
  <si>
    <t>Психолого-медико-педагогическое обследование детей (обучающиеся с ОВЗ)</t>
  </si>
  <si>
    <t>Реализация дополнительных общеразвивающих программ 
(очная форма обучения)</t>
  </si>
  <si>
    <t>Количество человеко-часов</t>
  </si>
  <si>
    <t>Реализация дополнительных общеразвивающих программ (очная 
с применением сетевой формы реализации и дистанционных образовательных технологий)</t>
  </si>
  <si>
    <t>Реализация дополнительных общеразвивающих программ (очная 
с применением сетевой формы реализации и дистанционных образовательных технологий (обучающиеся с ограниченными возможностями здоровья (ОВЗ)</t>
  </si>
  <si>
    <t>Реализация дополнительных предпрофессиональных программ в области физической культуры и спорта</t>
  </si>
  <si>
    <t>Спортивная подготовка 
по Олимпийским видам спорта: 
Баскетбол</t>
  </si>
  <si>
    <t>Методическое обеспечение образовательной деятельности</t>
  </si>
  <si>
    <t>количество мероприятий</t>
  </si>
  <si>
    <t>единица</t>
  </si>
  <si>
    <t>количество разработанных документов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</si>
  <si>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</si>
  <si>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
(адаптированная образовательная программа)</t>
  </si>
  <si>
    <t xml:space="preserve">Количество человеко-часов </t>
  </si>
  <si>
    <t>Защита прав и законных интересов 
детей-сирот и детей, оставшихся без попечения родителей</t>
  </si>
  <si>
    <t>Число детей-сирот и детей, оставшихся без попечения родителей</t>
  </si>
  <si>
    <t>Содержание и воспитание детей-сирот 
и детей, оставшихся без попечения родителей, детей, находящихся в трудной жизненной ситуации</t>
  </si>
  <si>
    <t>Численность граждан, получивших социальные услуги</t>
  </si>
  <si>
    <t>Содержание лиц из числа детей-сирот 
и детей, оставшихся без попечения родителей, завершивших пребывание 
в организации для детей-сирот, 
но не старше 23 лет</t>
  </si>
  <si>
    <t>Психолого-медико-педагогическая реабилитация детей</t>
  </si>
  <si>
    <t>Психолого-медико-педагогическое обследование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</si>
  <si>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</si>
  <si>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
или принявшим под опеку (попечительство) ребенка</t>
  </si>
  <si>
    <t>Численность семей, получивших социальные услуги</t>
  </si>
  <si>
    <t>Подготовка граждан, выразивших желание принять детей-сирот и детей, оставшихся без попечения родителей, 
на семейные формы устройства</t>
  </si>
  <si>
    <t>Содействие устройству детей 
на воспитание в семью</t>
  </si>
  <si>
    <t>Количество детей, переданных на воспитание в семью</t>
  </si>
  <si>
    <t>Реализация образовательных 
программ среднего профессионального образования - программ подготовки квалифицированных рабочих, служащих</t>
  </si>
  <si>
    <t>Численность обучающихся</t>
  </si>
  <si>
    <t>Реализация образовательных 
программ среднего профессионального образования - программ подготовки специалистов среднего звена (очная)</t>
  </si>
  <si>
    <t>Реализация образовательных 
программ среднего профессионального образования - программ подготовки специалистов среднего звена (заочная)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</si>
  <si>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(очная)</t>
  </si>
  <si>
    <t>человеко-
часов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</si>
  <si>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(очная, обучающиеся 
с ограниченными возможностями 
здоровья (ОВЗ)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</si>
  <si>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(очно-заочная)</t>
  </si>
  <si>
    <t>Реализация дополнительных общеразвивающих программ</t>
  </si>
  <si>
    <t>Реализация дополнительных профессиональных программ 
повышения квалификации (очная)</t>
  </si>
  <si>
    <t>Реализация дополнительных профессиональных программ 
повышения квалификации (очно-заочная)</t>
  </si>
  <si>
    <t>Реализация дополнительных профессиональных программ 
повышения квалификации (очная 
с применением дистанционных образовательных технологий)</t>
  </si>
  <si>
    <t>Реализация дополнительных профессиональных программ профессиональной переподготовки</t>
  </si>
  <si>
    <t>Сопровождение процедуры
аттестации педагогических работников образовательных организаций 
Республики Марий Эл</t>
  </si>
  <si>
    <t>Количество педагогических работников, получивших консультативную помощь</t>
  </si>
  <si>
    <t>единица
(количество педагогических работников, получивших консультативную помощь)</t>
  </si>
  <si>
    <t>Количество проведенных экспертиз аттестационных материалов</t>
  </si>
  <si>
    <t>единица
(количество проведенных экспертиз аттестационных материалов)</t>
  </si>
  <si>
    <t>Организация работы авторских коллективов</t>
  </si>
  <si>
    <t>Количество действовавших авторских коллективов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</si>
  <si>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</si>
  <si>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Информационно-технологическое обеспечение образовательной деятельности</t>
  </si>
  <si>
    <t>Количество мероприятий (записей)</t>
  </si>
  <si>
    <t>Количество разработанных документов (информационных ресурсов и баз данных)</t>
  </si>
  <si>
    <t>Количество разработанных отчетов</t>
  </si>
  <si>
    <t>единица
(количество разработанных отчетов)</t>
  </si>
  <si>
    <t>Информационно-технологическое обеспечение управления системой образования</t>
  </si>
  <si>
    <t>единица
(количество мероприятий)</t>
  </si>
  <si>
    <t>Количество составленных отчетов</t>
  </si>
  <si>
    <t>единица
(количество составленных отчетов)</t>
  </si>
  <si>
    <t>Оценка качества образования</t>
  </si>
  <si>
    <t>ИТОГО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</si>
  <si>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Министерство молодежной политики, спорта и туризма Республики Марий Эл</t>
    </r>
  </si>
  <si>
    <t>Орган исполнительной власти, осуществляющий функции и полномочия учредителя (главный распорядитель):</t>
  </si>
  <si>
    <t>единица
(количество разработанных документов (информационных ресурсов и баз данных)</t>
  </si>
  <si>
    <t>единица
(количество мероприятий (записей)</t>
  </si>
  <si>
    <t xml:space="preserve">Первичная медико-санитарная помощь, не включенная в базовую программу обязательного медицинского страхования 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</si>
  <si>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психиатрия</t>
  </si>
  <si>
    <t>Число посещений</t>
  </si>
  <si>
    <t>Условная единица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</si>
  <si>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</si>
  <si>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фтизиатрия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</si>
  <si>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инфекционные болезни (в части синдрома приобретенного иммунодефицита (ВИЧ-инфекции))</t>
  </si>
  <si>
    <t>Первичная медико-санитарная помощь, в части диагностики и лечения, по профилю генетика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</si>
  <si>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</si>
  <si>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Психиатрия</t>
  </si>
  <si>
    <t>Случаев госпитализации</t>
  </si>
  <si>
    <t>Психиатрия-наркология (в части наркологии)</t>
  </si>
  <si>
    <t>Фтизиатрия</t>
  </si>
  <si>
    <t>Инфекционные болезни (в части синдрома приобретенного иммунодефицита (ВИЧ-инфекции))</t>
  </si>
  <si>
    <t>Случаев лечения</t>
  </si>
  <si>
    <t xml:space="preserve"> Психиатрия</t>
  </si>
  <si>
    <t>Паллиативная медицинская помощь</t>
  </si>
  <si>
    <t xml:space="preserve">Оказание паллиативной медицинской помощи </t>
  </si>
  <si>
    <t>Количество койко-дней</t>
  </si>
  <si>
    <t xml:space="preserve"> Койко-день</t>
  </si>
  <si>
    <t>Организация круглосуточного приема, содержания, выхаживания и воспитания детей</t>
  </si>
  <si>
    <t>Санаторно-курортное лечение</t>
  </si>
  <si>
    <t xml:space="preserve"> Соматические заболевания</t>
  </si>
  <si>
    <t xml:space="preserve">Высокотехнологичная медицинская помощь, не включенная в базовую программу обязательного медицинского страхования </t>
  </si>
  <si>
    <t>Нейрохирургия</t>
  </si>
  <si>
    <t>Число пациентов</t>
  </si>
  <si>
    <t>Сердечно-сосудистая хирургия</t>
  </si>
  <si>
    <t>Челюстно-лицевая хирургия</t>
  </si>
  <si>
    <t>Урология</t>
  </si>
  <si>
    <t>Травматология и ортопедия</t>
  </si>
  <si>
    <t>Офтальмология</t>
  </si>
  <si>
    <t>Онкология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</si>
  <si>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</si>
  <si>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Отчет</t>
  </si>
  <si>
    <t>Судебно-медицинская экспертиза</t>
  </si>
  <si>
    <t xml:space="preserve">Количество экспертиз, количество исследований </t>
  </si>
  <si>
    <t>Заготовка, хранение, транспортировка и обеспечение безопасности донорской крови и ее компонентов</t>
  </si>
  <si>
    <t xml:space="preserve">Условная единица продукта, переработки (в перерасчете на 1 литр цельной крови) </t>
  </si>
  <si>
    <t>Организация первичной медико-санитарной помощи</t>
  </si>
  <si>
    <t>Штук</t>
  </si>
  <si>
    <t>Патологическая анатомия</t>
  </si>
  <si>
    <t>Количество вскрытий, исследований</t>
  </si>
  <si>
    <t>Медико-генетические исследования</t>
  </si>
  <si>
    <t xml:space="preserve">Количество исследований </t>
  </si>
  <si>
    <t>Оказание экстренной и консультативной медицинской помощи и медицинская эвакуация</t>
  </si>
  <si>
    <t>Количество выездов</t>
  </si>
  <si>
    <t xml:space="preserve">Формирование, освежение, выпуск и содержание (обслуживание) резерва лекарственных средств для медицинского применения и медицинских изделий, в том числе для ликвидации медико-санитарных последствий чрезвычайных ситуаций </t>
  </si>
  <si>
    <t>Количество отчетов</t>
  </si>
  <si>
    <t xml:space="preserve">Организация оказания экстренной и консультативной медицинской помощи. 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</si>
  <si>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</si>
  <si>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Лечебное дело</t>
  </si>
  <si>
    <t>Акушерское дело</t>
  </si>
  <si>
    <t>Фармация</t>
  </si>
  <si>
    <t>Сестринское дело</t>
  </si>
  <si>
    <t>Лабораторная диагностика</t>
  </si>
  <si>
    <t>Реализация дополнительных профессиональных программ повышения квалификации</t>
  </si>
  <si>
    <t>Человеко-час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</si>
  <si>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</si>
  <si>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основных профессиональных образовательных программ профессионального обучения - программ повышения квалификации рабочих и служащих 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</si>
  <si>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</si>
  <si>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количество услуг </t>
  </si>
  <si>
    <t xml:space="preserve">единица 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</si>
  <si>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Департамент информатизации и связи Республики Марий Эл</t>
    </r>
  </si>
  <si>
    <t>предоставление услуг в бумажном виде</t>
  </si>
  <si>
    <t>предоставление услуг в электронном виде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</si>
  <si>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</si>
  <si>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Техническая поддержка и обеспечение функционирования Центра обработки данных Республики Марий Эл</t>
  </si>
  <si>
    <t>Техническая поддержка и обеспечение функционирования Официального Интернет-Портала Республики Марий Эл, Портала государственных услуг Республики Марий Эл, Системы межведомственного электронного взаимодействия Республики Марий Эл, Системы электронного документооборота в Республике Марий Эл</t>
  </si>
  <si>
    <t>Создание и обеспечение функционирования информационных систем обеспечения деятельности высшего органа исполнительной власти Республики Марий Эл</t>
  </si>
  <si>
    <t>Техническая поддержка и обеспечение функционирования Антикризисного центра Республики Марий Эл</t>
  </si>
  <si>
    <t>Количество компонентов инфраструктуры электронного правительства</t>
  </si>
  <si>
    <t>1.</t>
  </si>
  <si>
    <t xml:space="preserve">содержание, эксплуатация имущества </t>
  </si>
  <si>
    <t xml:space="preserve">сутки </t>
  </si>
  <si>
    <t>2.</t>
  </si>
  <si>
    <t>сутки</t>
  </si>
  <si>
    <t>Содержание недвижимого имущества, сосбо ценного и иного имущества</t>
  </si>
  <si>
    <t xml:space="preserve">Полная исправность, надлежащее техническое и санитарное состояние </t>
  </si>
  <si>
    <t>имущество</t>
  </si>
  <si>
    <t xml:space="preserve">ед.  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</si>
  <si>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Министерство транспорта и дорожного хозяйства Республики Марий Эл</t>
    </r>
    <r>
      <rPr>
        <b/>
        <sz val="13"/>
        <color theme="1"/>
        <rFont val="Times New Roman"/>
        <family val="1"/>
        <charset val="204"/>
      </rPr>
      <t xml:space="preserve"> </t>
    </r>
  </si>
  <si>
    <t>Содержание (эксплуатация) имущества, находящегося в государственной (муниципальной) собственности</t>
  </si>
  <si>
    <t>круглогодичность</t>
  </si>
  <si>
    <t xml:space="preserve">Защита населения и территорий от чрезвычайных ситуаций природного и техногенного характера
</t>
  </si>
  <si>
    <t>Работы по обеспечению безопасности населения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</si>
  <si>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</si>
  <si>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Поисковые 
и аварийно-спасательные работы (за исключением работ на водных объектах)</t>
  </si>
  <si>
    <t>Время реагирования дежурной смены на вызов</t>
  </si>
  <si>
    <t>мин</t>
  </si>
  <si>
    <t>До 5 мин. 
в летнее время, 
до 10 мин. 
в зимнее время</t>
  </si>
  <si>
    <t>Доля выполненных выездов на поисковые и аварийно-спасательные работы от общего количества поступивших экстренных вызовов</t>
  </si>
  <si>
    <t>%</t>
  </si>
  <si>
    <t xml:space="preserve">Обеспечение оперативной и технической готовности подразделений аварийно спасательных служб </t>
  </si>
  <si>
    <t>Поиск и спасение людей на водных объектах Обеспечение реагирования на чрезвычай-ные ситуации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</si>
  <si>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Комитет гражданской обороны и защиты населения Республики Марий Эл</t>
    </r>
  </si>
  <si>
    <t>Доля исправного оборудования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</si>
  <si>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</si>
  <si>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Автотранспортное обслуживание должностных лиц государственных органов и государственных учреждений в случаях,установленных нормативными правовыми актами субъектов Российской Федерации</t>
  </si>
  <si>
    <t>Количество транспортных средств</t>
  </si>
  <si>
    <t>штук</t>
  </si>
  <si>
    <t>Машино-часы работы автомобиля</t>
  </si>
  <si>
    <t>час</t>
  </si>
  <si>
    <t>Пробег</t>
  </si>
  <si>
    <t>километр</t>
  </si>
  <si>
    <t>Уборка территории и аналогичная деятельность</t>
  </si>
  <si>
    <t>Содержание в чистоте прилегающей территории</t>
  </si>
  <si>
    <t>Площадь</t>
  </si>
  <si>
    <t>квадратный метр</t>
  </si>
  <si>
    <t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</t>
  </si>
  <si>
    <t>Эксплуатируемая площадь жилых зданий</t>
  </si>
  <si>
    <t>Эксплуатируемая площадь административных зданий</t>
  </si>
  <si>
    <t>Организация проведения протокольных мероприятий</t>
  </si>
  <si>
    <t>Организация проведения протокольных мероприятий, офоциальных приемов, банкетов,фуршетов и иных торжественных мероприятий, проводимых с участием или по поручению Главы Республики Марий Эл, а также Правительства Республики Марий Эл</t>
  </si>
  <si>
    <t>Количество проведенных протокольных мероприятий</t>
  </si>
  <si>
    <t>единиц</t>
  </si>
  <si>
    <t>Среднее количество посетителей протокольных мероприятий</t>
  </si>
  <si>
    <t>Организация мероприятий</t>
  </si>
  <si>
    <t>Деятельность по организации конференций и выставок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</si>
  <si>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Управление делами Главы Республики Марий Эл и Правительства Республики Марий Эл</t>
    </r>
  </si>
  <si>
    <t>Разработка прогнозных индексов изменения стоимости работ, осуществляемых в градостроительной и инвестиционно-строительной сфере</t>
  </si>
  <si>
    <t>Разработанный прогнозный индекс изменения стоимости</t>
  </si>
  <si>
    <t>Государственная экспертиза проектной документации и государственная экспертиза результатов инженерных изысканий</t>
  </si>
  <si>
    <t xml:space="preserve">Осуществление полномочий в области организации и проведения государственной экспертизы проектной документации, государственной экспертизы результатов инженерных изысканий в соответствии со статьей 6.1 Градостроительного кодекса РФ, за исключением указанной в пункте 5.1 статьи 6 государственной экспертизы проектной документации, государственной экспертизы результатов инженерных изысканий, если иное не предусмотрено федеральным законом от 29.12.2004 № 191-ФЗ "О введении в действие Градостроительного кодекса Российской Федерации" </t>
  </si>
  <si>
    <t>Количество заключений по результатам проведенной экспертизы</t>
  </si>
  <si>
    <t>штука</t>
  </si>
  <si>
    <t>181</t>
  </si>
  <si>
    <t>220</t>
  </si>
  <si>
    <t>180</t>
  </si>
  <si>
    <r>
      <t>Орган исполнительной власти, осуществляющий функции и полномочия учредителя (главный распорядитель):</t>
    </r>
    <r>
      <rPr>
        <b/>
        <u/>
        <sz val="13"/>
        <color theme="1"/>
        <rFont val="Times New Roman"/>
        <family val="1"/>
        <charset val="204"/>
      </rPr>
      <t>Министерство строительства, архитектуры и жилищно-коммунального хозяйства Республики Марий Эл</t>
    </r>
  </si>
  <si>
    <t xml:space="preserve"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
</t>
  </si>
  <si>
    <t>1.1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</si>
  <si>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(птиц), на выезде (вакцинация)</t>
  </si>
  <si>
    <t xml:space="preserve">количество вакцинаций 
 </t>
  </si>
  <si>
    <t>ед.</t>
  </si>
  <si>
    <t>1.2</t>
  </si>
  <si>
    <t xml:space="preserve">Проведение плановых профилактических вакцинаций животных (птиц) против особо опасных болезней животных и болезней общих для человека и животных (птиц), стационар </t>
  </si>
  <si>
    <t>1.3</t>
  </si>
  <si>
    <t>Проведение плановых диагностических мероприятий на особо опасные болезни животных (птиц) и болезни общие для человека и животных (птиц), на выезде</t>
  </si>
  <si>
    <t>отбор проб</t>
  </si>
  <si>
    <t>1.4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</si>
  <si>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</si>
  <si>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количество исследований</t>
  </si>
  <si>
    <t>1.5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</si>
  <si>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</si>
  <si>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диагностичес кие мероприятия</t>
  </si>
  <si>
    <t>1.6</t>
  </si>
  <si>
    <t>Учет и хранение лекарственных средств и препаратов для ветеринарного применения</t>
  </si>
  <si>
    <t xml:space="preserve">количество отчетов, 
количество документов  
</t>
  </si>
  <si>
    <t>1.7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</si>
  <si>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</si>
  <si>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количество обследований</t>
  </si>
  <si>
    <t xml:space="preserve">Проведение мероприятий по защите населения от болезней общих для человека                                                            
и животных и пищевых отравлений:
</t>
  </si>
  <si>
    <t>2.1</t>
  </si>
  <si>
    <t>Проведение ветеринарно-санитарной экспертизы сырья и продукции животного происхождения на трихинеллез (на выезде)</t>
  </si>
  <si>
    <t xml:space="preserve">количество исследова
ний
</t>
  </si>
  <si>
    <t>2.2</t>
  </si>
  <si>
    <t>Проведение ветеринарно-санитарной экспертизы сырья и продукции животного происхождения на трихинеллез (стационар)</t>
  </si>
  <si>
    <t>2.3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</si>
  <si>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</si>
  <si>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количество экспертиз</t>
  </si>
  <si>
    <t>2.4</t>
  </si>
  <si>
    <t>Проведение учета и контроля за состоянием скотомогильников, включая сибиреязвенные (отбор проб)</t>
  </si>
  <si>
    <t>количество проб</t>
  </si>
  <si>
    <t>2.5</t>
  </si>
  <si>
    <t>Проведение учета и контроля за состоянием скотомогильников, включая сибиреязвенные (лабораторные исследования)</t>
  </si>
  <si>
    <t xml:space="preserve">Оформление и выдача ветеринарных сопроводительных документов </t>
  </si>
  <si>
    <t>количество документов</t>
  </si>
  <si>
    <t>Сбор, изменение информации об объектах подлежащих ветеринарному контролю в федеральной государственной информационной системе в области ветеринарии «Ветис»</t>
  </si>
  <si>
    <t>Ветеринарный учет и отчетность, статистический анализ заболеваемости животных</t>
  </si>
  <si>
    <t>Консультации по оказанию методической и практической помощи в области ветеринарии</t>
  </si>
  <si>
    <t>количество консультаций</t>
  </si>
  <si>
    <t>Ведение реестра маркированных животных без владельцев на террритории Республики Марий Эл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</si>
  <si>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theme="1"/>
        <rFont val="Times New Roman"/>
        <family val="1"/>
        <charset val="204"/>
      </rPr>
      <t>Комитет ветеринарии Республики Марий Эл</t>
    </r>
  </si>
  <si>
    <t>Наименование государственной услуги (работы)</t>
  </si>
  <si>
    <t>наименование</t>
  </si>
  <si>
    <t>2021 год 
(факт)</t>
  </si>
  <si>
    <t>2022 год 
(оценка исполнения)</t>
  </si>
  <si>
    <t>2023 год 
(план)</t>
  </si>
  <si>
    <t>2024 год 
(план)</t>
  </si>
  <si>
    <t>2025 год 
(план)</t>
  </si>
  <si>
    <t>2023 год 
(оценка исполнения)</t>
  </si>
  <si>
    <t>2024 год 
(оценка исполнения)</t>
  </si>
  <si>
    <t>2025 год 
(оценка исполнения)</t>
  </si>
  <si>
    <t>Показ (организация показа) спектаклей (театральных постановок)</t>
  </si>
  <si>
    <t>все формы (стационар, гастроли, выезд)</t>
  </si>
  <si>
    <t>число зрителей</t>
  </si>
  <si>
    <t>количество публичных выступлений</t>
  </si>
  <si>
    <t>Создание спектаклей</t>
  </si>
  <si>
    <t>театрально-концертные организации</t>
  </si>
  <si>
    <t xml:space="preserve">количество новых (капитально-возобновленных) постановок </t>
  </si>
  <si>
    <t>Показ концертных (организация показа)  
и концертных программ</t>
  </si>
  <si>
    <t>Создание концертов 
и концертных программ</t>
  </si>
  <si>
    <t>Публичный показ музейных предметов, музейных коллекций</t>
  </si>
  <si>
    <t>все формы (стационар, 
вне стационара)</t>
  </si>
  <si>
    <t>число посетителей</t>
  </si>
  <si>
    <t>количество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</si>
  <si>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</si>
  <si>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все формы (стационар)</t>
  </si>
  <si>
    <t>количество предметов</t>
  </si>
  <si>
    <t>Осуществление экскурсионного обслуживания</t>
  </si>
  <si>
    <t>обслуживание экскурсантов</t>
  </si>
  <si>
    <t>число экскурсий</t>
  </si>
  <si>
    <t>количество экскурсантов</t>
  </si>
  <si>
    <t>Предоставление консультационных и методических услуг Музей</t>
  </si>
  <si>
    <t>методическая (семинар, конференция)</t>
  </si>
  <si>
    <t xml:space="preserve">Библиотечное, библиографическое 
и информационное обслуживание пользователей библиотеки </t>
  </si>
  <si>
    <t>все формы (стационар, 
вне стационара, удаленно через сеть интернет)</t>
  </si>
  <si>
    <t>количество пользователй</t>
  </si>
  <si>
    <t>количество посещений</t>
  </si>
  <si>
    <t>Формирование, учет, изучение, обеспечение физического сохранения и безопасности фондов библиотек</t>
  </si>
  <si>
    <t>все формы 
(в стационарных условиях)</t>
  </si>
  <si>
    <t>тыс.единиц</t>
  </si>
  <si>
    <t>Предоставление консультационных и методических услуг</t>
  </si>
  <si>
    <t xml:space="preserve"> Количество разработанных документов</t>
  </si>
  <si>
    <t>Организация деятельности клубных формирований и формирований самодеятельного народного творчества</t>
  </si>
  <si>
    <t>народное творчество</t>
  </si>
  <si>
    <t>количество клубных формирований</t>
  </si>
  <si>
    <t>число участников</t>
  </si>
  <si>
    <t>Методическая (семинар, конференция)</t>
  </si>
  <si>
    <t>Обеспечение сохранения и использования объектов культурного наследия</t>
  </si>
  <si>
    <t>Ремонтно-реставрационные работы</t>
  </si>
  <si>
    <t>количество объектов культурного наследия, по которым проведены мероприятия по государственной охране</t>
  </si>
  <si>
    <t>количество объектов, на которых проведены работы</t>
  </si>
  <si>
    <t>Реализация дополнительных предпрофессиональных программ в области искусств</t>
  </si>
  <si>
    <t xml:space="preserve">Образовательная программа </t>
  </si>
  <si>
    <t>численность обучающихся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</si>
  <si>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</si>
  <si>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</si>
  <si>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>_</t>
  </si>
  <si>
    <t xml:space="preserve">Предоставление консультационных и методических услуг </t>
  </si>
  <si>
    <t xml:space="preserve">Реализация основных профессиональных образовательных программ среднего профессионального образования </t>
  </si>
  <si>
    <t>Специальности 
и укрупненные группы</t>
  </si>
  <si>
    <t>Оказание информационных услуг на основе архивных документов</t>
  </si>
  <si>
    <t>Тематические запросы</t>
  </si>
  <si>
    <t>Количество исполненных тематических запросов</t>
  </si>
  <si>
    <t>Социально-правовые запросы</t>
  </si>
  <si>
    <t>Количество исполненных социально-правовых запросов</t>
  </si>
  <si>
    <t>Обеспечение доступа к архивным документам (копиям) и справочно-поисковым средствам к ним</t>
  </si>
  <si>
    <t>Архивные учреждения</t>
  </si>
  <si>
    <t>Количество посещений читального зала</t>
  </si>
  <si>
    <t>Количество посещений интернет-сайта</t>
  </si>
  <si>
    <t>Обеспечение  сохранности и учет архивных документов</t>
  </si>
  <si>
    <t>Архивная документация</t>
  </si>
  <si>
    <t>Объем хранимых докумнтов</t>
  </si>
  <si>
    <t>Количество архивных документов, включенных в автоматизированную систему учета документов Архивного фонда Российской Федерации</t>
  </si>
  <si>
    <t>Комплектование архивными документами</t>
  </si>
  <si>
    <t>Объем  документов, принятых на государственное хранение</t>
  </si>
  <si>
    <t>Научное описание архивных документов, создание справочно-поисковых средств к ним</t>
  </si>
  <si>
    <t>Количество описанных документов</t>
  </si>
  <si>
    <t>Формирование, учет и сохранение фильмофонда</t>
  </si>
  <si>
    <t>Кинодокументы</t>
  </si>
  <si>
    <t>Количество фильмокопий, находящихся на хранении</t>
  </si>
  <si>
    <t>Проведение фундаментальных научных исследований</t>
  </si>
  <si>
    <t>Научно-исследовательский институт</t>
  </si>
  <si>
    <t xml:space="preserve">количество проектов </t>
  </si>
  <si>
    <t>Проведение прикладных научных исследований</t>
  </si>
  <si>
    <t>Производство и распространение радиопрограмм</t>
  </si>
  <si>
    <t>Радиовещание</t>
  </si>
  <si>
    <t>время вещания</t>
  </si>
  <si>
    <t>минут</t>
  </si>
  <si>
    <t>Производство и распространение телепрограмм</t>
  </si>
  <si>
    <t>Телевидение</t>
  </si>
  <si>
    <t xml:space="preserve">Организация и проведение культурно-массовых мероприятий </t>
  </si>
  <si>
    <t>Творческая (фестиваль, выставка, конкурс, смотр)</t>
  </si>
  <si>
    <t xml:space="preserve">количество проведенных мероприятий </t>
  </si>
  <si>
    <t>количество проведенных координационно-учебных мероприятий</t>
  </si>
  <si>
    <t>Культурно-массовая (иные зрелищные)</t>
  </si>
  <si>
    <t>количество проведенных культурно-массовых мероприятий</t>
  </si>
  <si>
    <t xml:space="preserve">количество участников культурно-массовых мероприятий 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</si>
  <si>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rFont val="Times New Roman"/>
        <family val="1"/>
        <charset val="204"/>
      </rPr>
      <t>Министерство культуры, печати и по делам национальностей Республики Марий Эл</t>
    </r>
  </si>
  <si>
    <t>оказание социально-бытовых услуг, 
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</si>
  <si>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
получивших государственные услуги</t>
  </si>
  <si>
    <t>государственные работы в сфере социального обслуживания 
и социальной защиты населения, в том числе детей</t>
  </si>
  <si>
    <t>койко-дней</t>
  </si>
  <si>
    <r>
      <t xml:space="preserve">Орган исполнительной власти, осуществляющий функции и полномочия учредителя (главный распорядитель): </t>
    </r>
    <r>
      <rPr>
        <b/>
        <u/>
        <sz val="13"/>
        <color indexed="8"/>
        <rFont val="Times New Roman"/>
        <family val="1"/>
        <charset val="204"/>
      </rPr>
      <t>Министерство социального развития Республики Марий Эл</t>
    </r>
  </si>
  <si>
    <r>
      <t xml:space="preserve">Показатели, характеризующие </t>
    </r>
    <r>
      <rPr>
        <u/>
        <sz val="11"/>
        <color indexed="8"/>
        <rFont val="Times New Roman"/>
        <family val="1"/>
        <charset val="204"/>
      </rPr>
      <t>объем государственной услуги (работы)</t>
    </r>
  </si>
  <si>
    <t>Предоставление социального обслуживания в стационарной  форме включая оказание социально-бытовых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</si>
  <si>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Предоставление соц.обслуживания в форме соц обслуживания на дому включая оказание социально-бытовых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</si>
  <si>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 xml:space="preserve">Предоставление социального обслуживания в полустационарной  форме включая оказание социально-бытовых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</si>
  <si>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>Проведение психологических тренингов</t>
  </si>
  <si>
    <t xml:space="preserve">Проведение психопрофилактической работы </t>
  </si>
  <si>
    <t xml:space="preserve">Разработка и проведение цикла бесед </t>
  </si>
  <si>
    <t>Разработка методических материалов</t>
  </si>
  <si>
    <t>Организация и проведение социально-значимых мероприятий</t>
  </si>
  <si>
    <t>Профилактическая работа с  семьями, имеющими несовершеннолетних детей, по соблюдению правил пожарной безопасности, обеспечению безопасности жизнедеятельности детей</t>
  </si>
  <si>
    <t>Проведение работы  по выявлению семейного неблагополучия</t>
  </si>
  <si>
    <t xml:space="preserve">Количество мероприятий     </t>
  </si>
  <si>
    <t>Количество методических материалов</t>
  </si>
  <si>
    <t>Количество рейдов</t>
  </si>
  <si>
    <t>объем, тыс.руб.</t>
  </si>
  <si>
    <t>Противопожарное обустройство лесов</t>
  </si>
  <si>
    <t>Реконструкция лесных дорог, предназначенных для охраны лесов от пожаров</t>
  </si>
  <si>
    <t>Протяженность дорог</t>
  </si>
  <si>
    <t>км</t>
  </si>
  <si>
    <t>Устройство противопожарных минерализованных полос</t>
  </si>
  <si>
    <t>Протяженность минерализованных полос</t>
  </si>
  <si>
    <t>Прочистка противопожарных минерализованных полос и их обновление</t>
  </si>
  <si>
    <t>Установка и размещение стендов, знаков и указателей, содержащих информацию о мерах пожарной безопасности в лесах</t>
  </si>
  <si>
    <t>Количество стендов, знаков и указателей</t>
  </si>
  <si>
    <t>Обеспечение средствами предупреждения и тушения лесных пожаров</t>
  </si>
  <si>
    <t>Обеспечение средствами предупреждения и тушения лесных пожаров, содержание лесопожарных формирований, пожарной техники и оборудования, систем связи и оповещения</t>
  </si>
  <si>
    <t>Количество лесопожарных формирований, пожарной техники и оборудования, систем связи и оповещения</t>
  </si>
  <si>
    <t>Мониторинг пожарной опасности в лесах и лесных пожаров</t>
  </si>
  <si>
    <t>Мониторинг пожарной опасности в лесах и лесных пожаров путем наземного патрулирования лесов</t>
  </si>
  <si>
    <t>Контролируемая площадь</t>
  </si>
  <si>
    <t>га</t>
  </si>
  <si>
    <t>Авиационный мониторинг пожарной опасности в лесах и лесных пожаров</t>
  </si>
  <si>
    <t>Прием и учет сообщений о лесных пожарах, а также оповещение населения и противопожарных служб о пожарной опасности в лесах и лесных пожарах специализированными диспетчерскими службами</t>
  </si>
  <si>
    <t>Количество сообщений</t>
  </si>
  <si>
    <t>х</t>
  </si>
  <si>
    <t>Тушение лесных пожаров</t>
  </si>
  <si>
    <t>Площадь тушения</t>
  </si>
  <si>
    <t>80,8</t>
  </si>
  <si>
    <t>Предупреждение возникновения вредных организмов</t>
  </si>
  <si>
    <t>Сплошные санитарные рубки</t>
  </si>
  <si>
    <t>Площадь рубки</t>
  </si>
  <si>
    <t>Санитарная безопасность в лесах</t>
  </si>
  <si>
    <t>Лесопатологические обследования, в том числе инструментальным и (или) визуальным способами</t>
  </si>
  <si>
    <t>Площадь обследования</t>
  </si>
  <si>
    <t>500</t>
  </si>
  <si>
    <t>Уход за лесами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</si>
  <si>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</si>
  <si>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</si>
  <si>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осветления, проводимые в целях ухода за лесами</t>
  </si>
  <si>
    <t>Рубки прочистки, проводимые в целях ухода за лесами</t>
  </si>
  <si>
    <t>Выполнение работ по отводу лесосек</t>
  </si>
  <si>
    <t xml:space="preserve">Отвод лесосек под сплошные санитарные  рубки </t>
  </si>
  <si>
    <t>Площадь отвода</t>
  </si>
  <si>
    <t>Отвод лесосек под выборочные рубки, в том числе:</t>
  </si>
  <si>
    <t>прореживание</t>
  </si>
  <si>
    <t>проходные</t>
  </si>
  <si>
    <t>Отвод лесосек под рубки ухода в молодняках, в том числе:</t>
  </si>
  <si>
    <t>под осветление</t>
  </si>
  <si>
    <t>под прочистку</t>
  </si>
  <si>
    <t>Лесовосстановление (агоротехнические уходы)</t>
  </si>
  <si>
    <t>Искусственное лесовосстановление путем посадки сеянцев, саженцев с открытой корневой системой</t>
  </si>
  <si>
    <t>Площадь лесовосстановления</t>
  </si>
  <si>
    <t>Агротехнический уход за лесными культурами путем рыхления почвы с одновременным уничтожением травянистой и древесной растительности (участки без пней)</t>
  </si>
  <si>
    <t>Площадь ухода</t>
  </si>
  <si>
    <t>Агротехнический  уход за лесными культурами путем дополнения лесных культур (посадкой сеянцев 40%)</t>
  </si>
  <si>
    <t>Лесовосстановление (подготовка и обработка почвы)</t>
  </si>
  <si>
    <t xml:space="preserve">Подготовка лесных участков для создания лесных культур путем сплошной или полосной (частичной) расчистки площади от валежника, камней, нежелательной древесной растительности, мелких пней, стволов усохших деревьев </t>
  </si>
  <si>
    <t>Площадь расчистки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</si>
  <si>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 (участки без пней)</t>
  </si>
  <si>
    <t>Площадь обработки почвы</t>
  </si>
  <si>
    <t>Искусственное лесовосстановление путем посадки сеянцев, саженцев с закрытой корневой системой</t>
  </si>
  <si>
    <r>
      <t>Орган исполнительной власти, осуществляющий функции и полномочия учредителя (главный распорядитель):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Министерство природных ресурсов, экологии и охраны окружающей среды Республики Марий Эл</t>
    </r>
  </si>
  <si>
    <t xml:space="preserve">Обеспечение хранения информационных ресурсов в сфере недропользования в фонде геологической информации Республики Марий Эл </t>
  </si>
  <si>
    <t>Представление в пользование первичной информации о недрах и интерпретированной геологической информации о недрах</t>
  </si>
  <si>
    <t>Количество предоставленной геологической информации в единицах хранения</t>
  </si>
  <si>
    <t>Сбор, обработка геологической информации,подготовка ТБЗ по всем видам ПИ, цифровых карт и сборников, подготовка реестров УН и лицензий,актуализация и создание паспортов ГКМ</t>
  </si>
  <si>
    <t>Обеспечение сохранности фонда геологической информации Республики Марий Эл и учет архивных документов</t>
  </si>
  <si>
    <t>Объем хранимых дел (документов)</t>
  </si>
  <si>
    <t>Ведение мониторинга атмосферного воздуха на территории Республики Марий Эл</t>
  </si>
  <si>
    <t>Количество проб</t>
  </si>
  <si>
    <t>Обеспечение безопасности гидротехнических сооружений, расположенных на территории Республики Марий Эл</t>
  </si>
  <si>
    <t xml:space="preserve">Эксплуатация мелиоративных систем, отдельно расположенных гидротехнических сооружений и другого имущества, переданного учреждению в оперативное управление </t>
  </si>
  <si>
    <t>Количество гидротехнических сооружений</t>
  </si>
  <si>
    <t>Проведение работ по предупреждению и ликвидации последствий аварий на мелиоративных системах и отдельно расположенных гидротехнических сооружениях</t>
  </si>
  <si>
    <t>Государственный мониторинг водных объектов, расположенных на территории Республики Марий Эл</t>
  </si>
  <si>
    <t xml:space="preserve">Осуществление оценки состояния водных объектов по количественным и качественным показателям </t>
  </si>
  <si>
    <t xml:space="preserve">Ведение мониторинга водоохранных зон водных объектов </t>
  </si>
  <si>
    <t>Контролируемая протяженность водоохранных зон</t>
  </si>
  <si>
    <t xml:space="preserve"> км</t>
  </si>
  <si>
    <t>Ведение мониторинга берегов и русловых процессов</t>
  </si>
  <si>
    <t>Количество створов</t>
  </si>
  <si>
    <t>Ведение мониторинга гидротехнических сооружений</t>
  </si>
  <si>
    <t>Количество объектов</t>
  </si>
  <si>
    <t>Оценка состояния зон затопления, подтопления</t>
  </si>
  <si>
    <t xml:space="preserve"> Количество зон</t>
  </si>
  <si>
    <t xml:space="preserve">Сведения об объемах оказания государственных услуг (выполнения работ) государственными учреждениями                            Республики Марий Эл, а также об объемах их финансового обеспечения </t>
  </si>
  <si>
    <t xml:space="preserve">Сведения об объемах оказания государственных услуг (выполнения работ) государственными учреждениями Республики Марий Эл, а также об объемах их финансового обеспечения </t>
  </si>
  <si>
    <t>Оказание услуг по санаторно-курортному лечению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</si>
</sst>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000"/>
    <numFmt numFmtId="168" formatCode="#,##0_р_."/>
    <numFmt numFmtId="169" formatCode="#,##0.0_р_."/>
    <numFmt numFmtId="170" formatCode="#,##0.000"/>
    <numFmt numFmtId="171" formatCode="_-* #,##0.0\ _₽_-;\-* #,##0.0\ _₽_-;_-* &quot;-&quot;??\ _₽_-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indexed="8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</cellStyleXfs>
  <cellXfs count="362">
    <xf numFmtId="0" fontId="0" fillId="0" borderId="0" xfId="0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5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168" fontId="16" fillId="2" borderId="1" xfId="3" applyNumberFormat="1" applyFont="1" applyFill="1" applyBorder="1" applyAlignment="1" applyProtection="1">
      <alignment horizontal="center" vertical="center" wrapText="1"/>
      <protection locked="0"/>
    </xf>
    <xf numFmtId="168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4" fillId="0" borderId="0" xfId="0" applyFont="1" applyAlignment="1"/>
    <xf numFmtId="0" fontId="19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/>
    <xf numFmtId="0" fontId="19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21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 wrapText="1"/>
    </xf>
    <xf numFmtId="0" fontId="22" fillId="0" borderId="1" xfId="3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169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168" fontId="23" fillId="4" borderId="1" xfId="3" applyNumberFormat="1" applyFont="1" applyFill="1" applyBorder="1" applyAlignment="1" applyProtection="1">
      <alignment horizontal="center" vertical="center" wrapText="1"/>
      <protection locked="0"/>
    </xf>
    <xf numFmtId="168" fontId="6" fillId="5" borderId="1" xfId="9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3" applyNumberFormat="1" applyFont="1" applyBorder="1" applyAlignment="1" applyProtection="1">
      <alignment horizontal="center" vertical="center"/>
    </xf>
    <xf numFmtId="166" fontId="9" fillId="0" borderId="1" xfId="3" applyNumberFormat="1" applyFont="1" applyFill="1" applyBorder="1" applyAlignment="1" applyProtection="1">
      <alignment horizontal="center" vertical="center"/>
    </xf>
    <xf numFmtId="166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12" fillId="0" borderId="0" xfId="4"/>
    <xf numFmtId="0" fontId="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0" borderId="0" xfId="4" applyFont="1" applyAlignment="1"/>
    <xf numFmtId="3" fontId="21" fillId="0" borderId="1" xfId="4" applyNumberFormat="1" applyFont="1" applyBorder="1" applyAlignment="1">
      <alignment horizontal="center" vertical="top"/>
    </xf>
    <xf numFmtId="3" fontId="21" fillId="0" borderId="1" xfId="4" applyNumberFormat="1" applyFont="1" applyFill="1" applyBorder="1" applyAlignment="1">
      <alignment horizontal="center" vertical="top"/>
    </xf>
    <xf numFmtId="0" fontId="21" fillId="0" borderId="1" xfId="4" applyFont="1" applyBorder="1" applyAlignment="1">
      <alignment vertical="top" wrapText="1"/>
    </xf>
    <xf numFmtId="166" fontId="21" fillId="0" borderId="1" xfId="4" applyNumberFormat="1" applyFont="1" applyBorder="1" applyAlignment="1">
      <alignment horizontal="center" vertical="top"/>
    </xf>
    <xf numFmtId="0" fontId="21" fillId="0" borderId="1" xfId="4" applyFont="1" applyFill="1" applyBorder="1" applyAlignment="1">
      <alignment vertical="top" wrapText="1"/>
    </xf>
    <xf numFmtId="166" fontId="21" fillId="0" borderId="1" xfId="4" applyNumberFormat="1" applyFont="1" applyFill="1" applyBorder="1" applyAlignment="1">
      <alignment horizontal="center" vertical="top"/>
    </xf>
    <xf numFmtId="166" fontId="21" fillId="0" borderId="1" xfId="10" applyNumberFormat="1" applyFont="1" applyBorder="1" applyAlignment="1">
      <alignment horizontal="center" vertical="top"/>
    </xf>
    <xf numFmtId="0" fontId="18" fillId="0" borderId="0" xfId="4" applyFont="1"/>
    <xf numFmtId="0" fontId="12" fillId="0" borderId="1" xfId="4" applyFont="1" applyBorder="1" applyAlignment="1">
      <alignment horizontal="center"/>
    </xf>
    <xf numFmtId="49" fontId="12" fillId="0" borderId="1" xfId="4" applyNumberFormat="1" applyFont="1" applyBorder="1" applyAlignment="1">
      <alignment horizontal="center" vertical="center" wrapText="1"/>
    </xf>
    <xf numFmtId="166" fontId="9" fillId="0" borderId="1" xfId="4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14" fillId="0" borderId="0" xfId="0" applyNumberFormat="1" applyFont="1" applyAlignment="1">
      <alignment horizontal="center"/>
    </xf>
    <xf numFmtId="1" fontId="21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23" fillId="0" borderId="1" xfId="1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top"/>
    </xf>
    <xf numFmtId="166" fontId="26" fillId="0" borderId="1" xfId="4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/>
    <xf numFmtId="170" fontId="25" fillId="0" borderId="0" xfId="0" applyNumberFormat="1" applyFont="1" applyFill="1"/>
    <xf numFmtId="0" fontId="29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49" fontId="21" fillId="0" borderId="1" xfId="0" applyNumberFormat="1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23" fillId="4" borderId="26" xfId="0" applyNumberFormat="1" applyFont="1" applyFill="1" applyBorder="1" applyAlignment="1">
      <alignment horizontal="center" vertical="center" wrapText="1"/>
    </xf>
    <xf numFmtId="0" fontId="34" fillId="4" borderId="26" xfId="0" applyNumberFormat="1" applyFont="1" applyFill="1" applyBorder="1" applyAlignment="1">
      <alignment horizontal="center" vertical="center" wrapText="1"/>
    </xf>
    <xf numFmtId="0" fontId="23" fillId="4" borderId="28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37" fillId="0" borderId="0" xfId="0" applyFont="1"/>
    <xf numFmtId="0" fontId="5" fillId="0" borderId="29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 wrapText="1"/>
    </xf>
    <xf numFmtId="166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6" fontId="23" fillId="0" borderId="1" xfId="8" applyNumberFormat="1" applyFont="1" applyFill="1" applyBorder="1" applyAlignment="1">
      <alignment horizontal="center" vertical="center"/>
    </xf>
    <xf numFmtId="166" fontId="23" fillId="0" borderId="1" xfId="0" applyNumberFormat="1" applyFont="1" applyBorder="1"/>
    <xf numFmtId="165" fontId="23" fillId="0" borderId="1" xfId="0" applyNumberFormat="1" applyFont="1" applyBorder="1"/>
    <xf numFmtId="166" fontId="40" fillId="0" borderId="1" xfId="8" applyNumberFormat="1" applyFont="1" applyFill="1" applyBorder="1" applyAlignment="1">
      <alignment horizontal="center" vertical="center"/>
    </xf>
    <xf numFmtId="165" fontId="40" fillId="0" borderId="1" xfId="8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171" fontId="40" fillId="0" borderId="1" xfId="8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/>
    <xf numFmtId="166" fontId="16" fillId="0" borderId="0" xfId="0" applyNumberFormat="1" applyFont="1" applyAlignment="1">
      <alignment wrapText="1"/>
    </xf>
    <xf numFmtId="0" fontId="16" fillId="0" borderId="0" xfId="0" applyFont="1"/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166" fontId="21" fillId="2" borderId="1" xfId="0" applyNumberFormat="1" applyFont="1" applyFill="1" applyBorder="1" applyAlignment="1"/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21" fillId="6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166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166" fontId="42" fillId="0" borderId="0" xfId="0" applyNumberFormat="1" applyFont="1" applyAlignment="1">
      <alignment wrapText="1"/>
    </xf>
    <xf numFmtId="0" fontId="42" fillId="0" borderId="0" xfId="0" applyFont="1"/>
    <xf numFmtId="0" fontId="21" fillId="0" borderId="1" xfId="0" applyFont="1" applyFill="1" applyBorder="1" applyAlignment="1">
      <alignment horizontal="right" wrapText="1"/>
    </xf>
    <xf numFmtId="0" fontId="21" fillId="7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wrapText="1"/>
    </xf>
    <xf numFmtId="0" fontId="42" fillId="0" borderId="0" xfId="0" applyFont="1" applyFill="1"/>
    <xf numFmtId="0" fontId="21" fillId="7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right" wrapText="1"/>
    </xf>
    <xf numFmtId="0" fontId="42" fillId="7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1" fillId="0" borderId="1" xfId="0" applyFont="1" applyBorder="1" applyAlignment="1">
      <alignment horizontal="right"/>
    </xf>
    <xf numFmtId="0" fontId="26" fillId="0" borderId="0" xfId="0" applyFont="1"/>
    <xf numFmtId="0" fontId="21" fillId="7" borderId="1" xfId="0" applyFont="1" applyFill="1" applyBorder="1" applyAlignment="1">
      <alignment horizontal="left" wrapText="1"/>
    </xf>
    <xf numFmtId="166" fontId="21" fillId="0" borderId="1" xfId="0" applyNumberFormat="1" applyFont="1" applyBorder="1" applyAlignment="1">
      <alignment horizontal="center" wrapText="1"/>
    </xf>
    <xf numFmtId="166" fontId="42" fillId="0" borderId="1" xfId="0" applyNumberFormat="1" applyFont="1" applyBorder="1" applyAlignment="1">
      <alignment horizontal="center" wrapText="1"/>
    </xf>
    <xf numFmtId="166" fontId="21" fillId="7" borderId="1" xfId="0" applyNumberFormat="1" applyFont="1" applyFill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19" fillId="0" borderId="0" xfId="4" applyFont="1" applyAlignme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6" fontId="2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1" xfId="1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6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49" fontId="43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4" applyNumberFormat="1" applyFont="1" applyBorder="1" applyAlignment="1">
      <alignment horizontal="right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2" fillId="0" borderId="1" xfId="3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3">
    <cellStyle name="Excel Built-in Normal" xfId="12"/>
    <cellStyle name="Обычный" xfId="0" builtinId="0"/>
    <cellStyle name="Обычный 2" xfId="1"/>
    <cellStyle name="Обычный 2 2" xfId="11"/>
    <cellStyle name="Обычный 3" xfId="2"/>
    <cellStyle name="Обычный 3 2" xfId="3"/>
    <cellStyle name="Обычный 4" xfId="4"/>
    <cellStyle name="Обычный 5" xfId="5"/>
    <cellStyle name="Обычный 6" xfId="6"/>
    <cellStyle name="Пояснение" xfId="9" builtinId="53"/>
    <cellStyle name="Финансовый 2" xfId="7"/>
    <cellStyle name="Финансовый 3" xfId="8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M20" sqref="M20"/>
    </sheetView>
  </sheetViews>
  <sheetFormatPr defaultRowHeight="15"/>
  <cols>
    <col min="1" max="1" width="6.28515625" customWidth="1"/>
    <col min="2" max="2" width="56.140625" customWidth="1"/>
    <col min="3" max="3" width="11.5703125" customWidth="1"/>
    <col min="4" max="4" width="14.28515625" customWidth="1"/>
    <col min="5" max="5" width="15" customWidth="1"/>
    <col min="6" max="7" width="13.85546875" customWidth="1"/>
    <col min="8" max="8" width="13.140625" customWidth="1"/>
  </cols>
  <sheetData>
    <row r="1" spans="1:8" ht="35.25" customHeight="1">
      <c r="A1" s="273" t="s">
        <v>638</v>
      </c>
      <c r="B1" s="273"/>
      <c r="C1" s="273"/>
      <c r="D1" s="273"/>
      <c r="E1" s="273"/>
      <c r="F1" s="273"/>
      <c r="G1" s="273"/>
      <c r="H1" s="273"/>
    </row>
    <row r="2" spans="1:8" ht="13.5" customHeight="1"/>
    <row r="3" spans="1:8" ht="21" customHeight="1">
      <c r="A3" s="274" t="s">
        <v>3</v>
      </c>
      <c r="B3" s="274" t="s">
        <v>90</v>
      </c>
      <c r="C3" s="274" t="s">
        <v>91</v>
      </c>
      <c r="D3" s="275" t="s">
        <v>106</v>
      </c>
      <c r="E3" s="276"/>
      <c r="F3" s="276"/>
      <c r="G3" s="276"/>
      <c r="H3" s="277"/>
    </row>
    <row r="4" spans="1:8" ht="14.25" customHeight="1">
      <c r="A4" s="274"/>
      <c r="B4" s="274"/>
      <c r="C4" s="274"/>
      <c r="D4" s="278"/>
      <c r="E4" s="279"/>
      <c r="F4" s="279"/>
      <c r="G4" s="279"/>
      <c r="H4" s="280"/>
    </row>
    <row r="5" spans="1:8" ht="48" customHeight="1">
      <c r="A5" s="274"/>
      <c r="B5" s="274"/>
      <c r="C5" s="274"/>
      <c r="D5" s="5" t="s">
        <v>11</v>
      </c>
      <c r="E5" s="5" t="s">
        <v>12</v>
      </c>
      <c r="F5" s="5" t="s">
        <v>14</v>
      </c>
      <c r="G5" s="5" t="s">
        <v>16</v>
      </c>
      <c r="H5" s="5" t="s">
        <v>17</v>
      </c>
    </row>
    <row r="6" spans="1:8" ht="30">
      <c r="A6" s="7">
        <v>1</v>
      </c>
      <c r="B6" s="8" t="s">
        <v>92</v>
      </c>
      <c r="C6" s="9">
        <v>806</v>
      </c>
      <c r="D6" s="10">
        <v>230851.95814999999</v>
      </c>
      <c r="E6" s="10">
        <v>284866.88673000003</v>
      </c>
      <c r="F6" s="10">
        <v>290946.7</v>
      </c>
      <c r="G6" s="10">
        <v>261852.03</v>
      </c>
      <c r="H6" s="10">
        <v>261852.03</v>
      </c>
    </row>
    <row r="7" spans="1:8" ht="30">
      <c r="A7" s="11">
        <f>A6+1</f>
        <v>2</v>
      </c>
      <c r="B7" s="269" t="s">
        <v>93</v>
      </c>
      <c r="C7" s="12">
        <v>820</v>
      </c>
      <c r="D7" s="13">
        <v>76556.253999999986</v>
      </c>
      <c r="E7" s="13">
        <v>94201.94</v>
      </c>
      <c r="F7" s="13">
        <v>96284.1</v>
      </c>
      <c r="G7" s="13">
        <v>86655.69</v>
      </c>
      <c r="H7" s="13">
        <v>86655.69</v>
      </c>
    </row>
    <row r="8" spans="1:8" ht="31.5" customHeight="1">
      <c r="A8" s="11">
        <f t="shared" ref="A8:A18" si="0">A7+1</f>
        <v>3</v>
      </c>
      <c r="B8" s="269" t="s">
        <v>94</v>
      </c>
      <c r="C8" s="12">
        <v>832</v>
      </c>
      <c r="D8" s="13">
        <v>750.39599999999996</v>
      </c>
      <c r="E8" s="13">
        <v>957.61099999999999</v>
      </c>
      <c r="F8" s="13">
        <v>995.76455999999996</v>
      </c>
      <c r="G8" s="13">
        <v>995.76455999999996</v>
      </c>
      <c r="H8" s="13">
        <v>995.76455999999996</v>
      </c>
    </row>
    <row r="9" spans="1:8" ht="30">
      <c r="A9" s="11">
        <f t="shared" si="0"/>
        <v>4</v>
      </c>
      <c r="B9" s="269" t="s">
        <v>95</v>
      </c>
      <c r="C9" s="11">
        <v>849</v>
      </c>
      <c r="D9" s="13">
        <v>65612.350000000006</v>
      </c>
      <c r="E9" s="13">
        <v>69353</v>
      </c>
      <c r="F9" s="13">
        <v>75929.100000000006</v>
      </c>
      <c r="G9" s="13">
        <v>68336.19</v>
      </c>
      <c r="H9" s="13">
        <v>68336.19</v>
      </c>
    </row>
    <row r="10" spans="1:8" ht="30">
      <c r="A10" s="11">
        <f t="shared" si="0"/>
        <v>5</v>
      </c>
      <c r="B10" s="269" t="s">
        <v>96</v>
      </c>
      <c r="C10" s="11">
        <v>853</v>
      </c>
      <c r="D10" s="13">
        <v>38811.349999999991</v>
      </c>
      <c r="E10" s="13">
        <v>61082.60000000002</v>
      </c>
      <c r="F10" s="13">
        <v>19731.599999999999</v>
      </c>
      <c r="G10" s="13">
        <v>17758.440000000002</v>
      </c>
      <c r="H10" s="13">
        <v>17758.440000000002</v>
      </c>
    </row>
    <row r="11" spans="1:8" ht="24.75" customHeight="1">
      <c r="A11" s="11">
        <f t="shared" si="0"/>
        <v>6</v>
      </c>
      <c r="B11" s="269" t="s">
        <v>97</v>
      </c>
      <c r="C11" s="11">
        <v>855</v>
      </c>
      <c r="D11" s="13">
        <v>939181.67000000016</v>
      </c>
      <c r="E11" s="13">
        <v>988167.6100000001</v>
      </c>
      <c r="F11" s="13">
        <v>1094470.6000000001</v>
      </c>
      <c r="G11" s="13">
        <v>1087079.3</v>
      </c>
      <c r="H11" s="13">
        <v>1087019.2</v>
      </c>
    </row>
    <row r="12" spans="1:8" ht="27" customHeight="1">
      <c r="A12" s="11">
        <f t="shared" si="0"/>
        <v>7</v>
      </c>
      <c r="B12" s="269" t="s">
        <v>98</v>
      </c>
      <c r="C12" s="11">
        <v>856</v>
      </c>
      <c r="D12" s="13">
        <v>828593.44999999984</v>
      </c>
      <c r="E12" s="13">
        <v>885938.9</v>
      </c>
      <c r="F12" s="13">
        <v>912897.59999999963</v>
      </c>
      <c r="G12" s="13">
        <v>821607.83999999985</v>
      </c>
      <c r="H12" s="13">
        <v>821607.83999999985</v>
      </c>
    </row>
    <row r="13" spans="1:8" ht="30">
      <c r="A13" s="11">
        <f t="shared" si="0"/>
        <v>8</v>
      </c>
      <c r="B13" s="269" t="s">
        <v>99</v>
      </c>
      <c r="C13" s="11">
        <v>857</v>
      </c>
      <c r="D13" s="13">
        <v>1011524.3631630001</v>
      </c>
      <c r="E13" s="13">
        <v>1138073.4149999998</v>
      </c>
      <c r="F13" s="13">
        <v>1194437.0560000001</v>
      </c>
      <c r="G13" s="13">
        <v>1075038.6210000003</v>
      </c>
      <c r="H13" s="13">
        <v>1075038.6240000003</v>
      </c>
    </row>
    <row r="14" spans="1:8" ht="30">
      <c r="A14" s="11">
        <f t="shared" si="0"/>
        <v>9</v>
      </c>
      <c r="B14" s="269" t="s">
        <v>100</v>
      </c>
      <c r="C14" s="11">
        <v>866</v>
      </c>
      <c r="D14" s="13">
        <v>24584.299999999996</v>
      </c>
      <c r="E14" s="13">
        <v>37213.567589999999</v>
      </c>
      <c r="F14" s="13">
        <v>40198.905660000004</v>
      </c>
      <c r="G14" s="13">
        <v>36179.031369999997</v>
      </c>
      <c r="H14" s="13">
        <v>36179.02622</v>
      </c>
    </row>
    <row r="15" spans="1:8" ht="30">
      <c r="A15" s="11">
        <f t="shared" si="0"/>
        <v>10</v>
      </c>
      <c r="B15" s="269" t="s">
        <v>101</v>
      </c>
      <c r="C15" s="11">
        <v>867</v>
      </c>
      <c r="D15" s="13">
        <v>454265.95999999996</v>
      </c>
      <c r="E15" s="13">
        <v>526901.17999999993</v>
      </c>
      <c r="F15" s="13">
        <v>576630.90000000014</v>
      </c>
      <c r="G15" s="13">
        <v>518967.84999999986</v>
      </c>
      <c r="H15" s="13">
        <v>518967.84999999986</v>
      </c>
    </row>
    <row r="16" spans="1:8" ht="23.25" customHeight="1">
      <c r="A16" s="11">
        <f t="shared" si="0"/>
        <v>11</v>
      </c>
      <c r="B16" s="269" t="s">
        <v>102</v>
      </c>
      <c r="C16" s="11">
        <v>871</v>
      </c>
      <c r="D16" s="13">
        <v>132679.9</v>
      </c>
      <c r="E16" s="13">
        <v>158637.30000000002</v>
      </c>
      <c r="F16" s="13">
        <v>161296.70000000001</v>
      </c>
      <c r="G16" s="13">
        <v>145162.58000000002</v>
      </c>
      <c r="H16" s="13">
        <v>145162.58000000002</v>
      </c>
    </row>
    <row r="17" spans="1:8" ht="21.75" customHeight="1">
      <c r="A17" s="11">
        <f t="shared" si="0"/>
        <v>12</v>
      </c>
      <c r="B17" s="269" t="s">
        <v>103</v>
      </c>
      <c r="C17" s="11">
        <v>874</v>
      </c>
      <c r="D17" s="13">
        <v>1575764.2993900005</v>
      </c>
      <c r="E17" s="13">
        <v>1668910.0371999999</v>
      </c>
      <c r="F17" s="13">
        <v>1799065.6002114597</v>
      </c>
      <c r="G17" s="13">
        <v>1619159.0401903135</v>
      </c>
      <c r="H17" s="13">
        <v>1619159.0401903135</v>
      </c>
    </row>
    <row r="18" spans="1:8" ht="26.25" customHeight="1">
      <c r="A18" s="11">
        <f t="shared" si="0"/>
        <v>13</v>
      </c>
      <c r="B18" s="269" t="s">
        <v>104</v>
      </c>
      <c r="C18" s="11">
        <v>881</v>
      </c>
      <c r="D18" s="13">
        <v>137009.70000000001</v>
      </c>
      <c r="E18" s="13">
        <v>178304.50000000003</v>
      </c>
      <c r="F18" s="13">
        <v>186150.29999999996</v>
      </c>
      <c r="G18" s="13">
        <v>167535.26999999999</v>
      </c>
      <c r="H18" s="13">
        <v>167535.26999999999</v>
      </c>
    </row>
    <row r="19" spans="1:8" s="16" customFormat="1" ht="22.5" customHeight="1">
      <c r="A19" s="271" t="s">
        <v>105</v>
      </c>
      <c r="B19" s="272"/>
      <c r="C19" s="14"/>
      <c r="D19" s="15">
        <f t="shared" ref="D19:H19" si="1">SUM(D6:D18)</f>
        <v>5516185.9507030006</v>
      </c>
      <c r="E19" s="15">
        <f t="shared" si="1"/>
        <v>6092608.5475199996</v>
      </c>
      <c r="F19" s="15">
        <f t="shared" si="1"/>
        <v>6449034.9264314594</v>
      </c>
      <c r="G19" s="15">
        <f t="shared" si="1"/>
        <v>5906327.6471203137</v>
      </c>
      <c r="H19" s="15">
        <f t="shared" si="1"/>
        <v>5906267.5449703131</v>
      </c>
    </row>
    <row r="23" spans="1:8">
      <c r="D23" s="83"/>
      <c r="E23" s="83"/>
      <c r="F23" s="83"/>
      <c r="G23" s="83"/>
      <c r="H23" s="83"/>
    </row>
  </sheetData>
  <mergeCells count="6">
    <mergeCell ref="A19:B19"/>
    <mergeCell ref="A1:H1"/>
    <mergeCell ref="A3:A5"/>
    <mergeCell ref="B3:B5"/>
    <mergeCell ref="C3:C5"/>
    <mergeCell ref="D3:H4"/>
  </mergeCells>
  <pageMargins left="0.31496062992125984" right="0.31496062992125984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90" zoomScaleNormal="90" workbookViewId="0">
      <pane xSplit="4" ySplit="9" topLeftCell="E29" activePane="bottomRight" state="frozen"/>
      <selection pane="topRight" activeCell="E1" sqref="E1"/>
      <selection pane="bottomLeft" activeCell="A10" sqref="A10"/>
      <selection pane="bottomRight" activeCell="A33" sqref="A33"/>
    </sheetView>
  </sheetViews>
  <sheetFormatPr defaultRowHeight="15"/>
  <cols>
    <col min="1" max="1" width="5.7109375" customWidth="1"/>
    <col min="2" max="2" width="32.5703125" customWidth="1"/>
    <col min="3" max="3" width="39.7109375" customWidth="1"/>
    <col min="4" max="4" width="34" customWidth="1"/>
    <col min="5" max="5" width="10.42578125" customWidth="1"/>
    <col min="6" max="6" width="11.2851562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9.42578125" customWidth="1"/>
    <col min="16" max="16" width="12.140625" customWidth="1"/>
    <col min="17" max="17" width="10" customWidth="1"/>
    <col min="18" max="18" width="11.85546875" customWidth="1"/>
    <col min="19" max="19" width="12.5703125" customWidth="1"/>
  </cols>
  <sheetData>
    <row r="1" spans="1:21" ht="15" customHeight="1"/>
    <row r="2" spans="1:21" ht="21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5.75" customHeight="1">
      <c r="A4" s="27" t="s">
        <v>1</v>
      </c>
      <c r="B4" s="1"/>
      <c r="C4" s="1"/>
      <c r="D4" s="1"/>
      <c r="E4" s="1"/>
      <c r="F4" s="29" t="s">
        <v>2</v>
      </c>
      <c r="I4" s="28"/>
      <c r="J4" s="28"/>
      <c r="K4" s="28"/>
      <c r="L4" s="28"/>
      <c r="M4" s="28"/>
      <c r="N4" s="28"/>
      <c r="O4" s="28"/>
      <c r="P4" s="28"/>
      <c r="Q4" s="28"/>
      <c r="R4" s="1"/>
      <c r="S4" s="1"/>
    </row>
    <row r="5" spans="1:21" ht="17.25" customHeight="1"/>
    <row r="6" spans="1:21" ht="42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21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  <c r="T7" s="2"/>
      <c r="U7" s="2"/>
    </row>
    <row r="8" spans="1:21" ht="78" customHeight="1">
      <c r="A8" s="289"/>
      <c r="B8" s="289"/>
      <c r="C8" s="289"/>
      <c r="D8" s="289"/>
      <c r="E8" s="289"/>
      <c r="F8" s="130" t="s">
        <v>11</v>
      </c>
      <c r="G8" s="130" t="s">
        <v>12</v>
      </c>
      <c r="H8" s="131" t="s">
        <v>13</v>
      </c>
      <c r="I8" s="130" t="s">
        <v>14</v>
      </c>
      <c r="J8" s="131" t="s">
        <v>15</v>
      </c>
      <c r="K8" s="130" t="s">
        <v>16</v>
      </c>
      <c r="L8" s="130" t="s">
        <v>17</v>
      </c>
      <c r="M8" s="130" t="s">
        <v>11</v>
      </c>
      <c r="N8" s="130" t="s">
        <v>12</v>
      </c>
      <c r="O8" s="131" t="s">
        <v>13</v>
      </c>
      <c r="P8" s="130" t="s">
        <v>14</v>
      </c>
      <c r="Q8" s="131" t="s">
        <v>15</v>
      </c>
      <c r="R8" s="130" t="s">
        <v>16</v>
      </c>
      <c r="S8" s="130" t="s">
        <v>17</v>
      </c>
      <c r="T8" s="2"/>
      <c r="U8" s="2"/>
    </row>
    <row r="9" spans="1:21" ht="15.75" customHeight="1">
      <c r="A9" s="125">
        <v>1</v>
      </c>
      <c r="B9" s="17" t="s">
        <v>18</v>
      </c>
      <c r="C9" s="17" t="s">
        <v>19</v>
      </c>
      <c r="D9" s="17" t="s">
        <v>20</v>
      </c>
      <c r="E9" s="17" t="s">
        <v>21</v>
      </c>
      <c r="F9" s="132" t="s">
        <v>22</v>
      </c>
      <c r="G9" s="132" t="s">
        <v>23</v>
      </c>
      <c r="H9" s="132" t="s">
        <v>24</v>
      </c>
      <c r="I9" s="132" t="s">
        <v>25</v>
      </c>
      <c r="J9" s="132" t="s">
        <v>26</v>
      </c>
      <c r="K9" s="132" t="s">
        <v>27</v>
      </c>
      <c r="L9" s="132" t="s">
        <v>28</v>
      </c>
      <c r="M9" s="132" t="s">
        <v>29</v>
      </c>
      <c r="N9" s="132" t="s">
        <v>30</v>
      </c>
      <c r="O9" s="132" t="s">
        <v>31</v>
      </c>
      <c r="P9" s="132" t="s">
        <v>32</v>
      </c>
      <c r="Q9" s="132" t="s">
        <v>33</v>
      </c>
      <c r="R9" s="132" t="s">
        <v>34</v>
      </c>
      <c r="S9" s="132" t="s">
        <v>35</v>
      </c>
      <c r="T9" s="2"/>
      <c r="U9" s="2"/>
    </row>
    <row r="10" spans="1:21" s="4" customFormat="1" ht="65.25" customHeight="1">
      <c r="A10" s="34">
        <v>1</v>
      </c>
      <c r="B10" s="35" t="s">
        <v>36</v>
      </c>
      <c r="C10" s="35" t="s">
        <v>36</v>
      </c>
      <c r="D10" s="36" t="s">
        <v>37</v>
      </c>
      <c r="E10" s="37" t="s">
        <v>38</v>
      </c>
      <c r="F10" s="38" t="s">
        <v>39</v>
      </c>
      <c r="G10" s="35" t="s">
        <v>40</v>
      </c>
      <c r="H10" s="38" t="s">
        <v>39</v>
      </c>
      <c r="I10" s="35" t="s">
        <v>18</v>
      </c>
      <c r="J10" s="39">
        <f>I10/G10*100</f>
        <v>200</v>
      </c>
      <c r="K10" s="35" t="s">
        <v>19</v>
      </c>
      <c r="L10" s="35" t="s">
        <v>19</v>
      </c>
      <c r="M10" s="40" t="s">
        <v>39</v>
      </c>
      <c r="N10" s="67">
        <f>0.09228*1</f>
        <v>9.2280000000000001E-2</v>
      </c>
      <c r="O10" s="67" t="s">
        <v>39</v>
      </c>
      <c r="P10" s="67">
        <f>0.06833*2</f>
        <v>0.13666</v>
      </c>
      <c r="Q10" s="40">
        <f>P10/N10*100</f>
        <v>148.09276116168184</v>
      </c>
      <c r="R10" s="40">
        <f>6.61158*3</f>
        <v>19.83474</v>
      </c>
      <c r="S10" s="40">
        <f>6.61158*3</f>
        <v>19.83474</v>
      </c>
      <c r="T10" s="3"/>
      <c r="U10" s="3"/>
    </row>
    <row r="11" spans="1:21" s="4" customFormat="1" ht="66.75" customHeight="1">
      <c r="A11" s="34">
        <v>2</v>
      </c>
      <c r="B11" s="35" t="s">
        <v>36</v>
      </c>
      <c r="C11" s="35" t="s">
        <v>36</v>
      </c>
      <c r="D11" s="36" t="s">
        <v>37</v>
      </c>
      <c r="E11" s="37" t="s">
        <v>38</v>
      </c>
      <c r="F11" s="38" t="s">
        <v>39</v>
      </c>
      <c r="G11" s="35" t="s">
        <v>40</v>
      </c>
      <c r="H11" s="38" t="s">
        <v>39</v>
      </c>
      <c r="I11" s="35" t="s">
        <v>40</v>
      </c>
      <c r="J11" s="39">
        <f t="shared" ref="J11:J28" si="0">I11/G11*100</f>
        <v>100</v>
      </c>
      <c r="K11" s="35" t="s">
        <v>40</v>
      </c>
      <c r="L11" s="35" t="s">
        <v>40</v>
      </c>
      <c r="M11" s="40" t="s">
        <v>39</v>
      </c>
      <c r="N11" s="67">
        <f>0.09228*1</f>
        <v>9.2280000000000001E-2</v>
      </c>
      <c r="O11" s="67" t="s">
        <v>39</v>
      </c>
      <c r="P11" s="67">
        <f>0.06833*1</f>
        <v>6.8330000000000002E-2</v>
      </c>
      <c r="Q11" s="40">
        <f t="shared" ref="Q11:Q31" si="1">P11/N11*100</f>
        <v>74.046380580840918</v>
      </c>
      <c r="R11" s="40">
        <f>6.61158*1</f>
        <v>6.61158</v>
      </c>
      <c r="S11" s="40">
        <f>6.61158*1</f>
        <v>6.61158</v>
      </c>
      <c r="T11" s="3"/>
      <c r="U11" s="3"/>
    </row>
    <row r="12" spans="1:21" s="4" customFormat="1" ht="73.5" customHeight="1">
      <c r="A12" s="34">
        <v>3</v>
      </c>
      <c r="B12" s="36" t="s">
        <v>42</v>
      </c>
      <c r="C12" s="36" t="s">
        <v>42</v>
      </c>
      <c r="D12" s="36" t="s">
        <v>43</v>
      </c>
      <c r="E12" s="37" t="s">
        <v>38</v>
      </c>
      <c r="F12" s="38" t="s">
        <v>39</v>
      </c>
      <c r="G12" s="35" t="s">
        <v>18</v>
      </c>
      <c r="H12" s="38" t="s">
        <v>39</v>
      </c>
      <c r="I12" s="35" t="s">
        <v>26</v>
      </c>
      <c r="J12" s="39">
        <f t="shared" si="0"/>
        <v>500</v>
      </c>
      <c r="K12" s="35" t="s">
        <v>31</v>
      </c>
      <c r="L12" s="35" t="s">
        <v>31</v>
      </c>
      <c r="M12" s="40" t="s">
        <v>39</v>
      </c>
      <c r="N12" s="67">
        <f>0.09228*2</f>
        <v>0.18456</v>
      </c>
      <c r="O12" s="67" t="s">
        <v>39</v>
      </c>
      <c r="P12" s="67">
        <f>0.06167*10</f>
        <v>0.61670000000000003</v>
      </c>
      <c r="Q12" s="40">
        <f t="shared" si="1"/>
        <v>334.14607715648026</v>
      </c>
      <c r="R12" s="40">
        <f>6.60957*15</f>
        <v>99.143549999999991</v>
      </c>
      <c r="S12" s="40">
        <f>6.60957*15</f>
        <v>99.143549999999991</v>
      </c>
      <c r="T12" s="3"/>
      <c r="U12" s="3"/>
    </row>
    <row r="13" spans="1:21" s="4" customFormat="1" ht="75" customHeight="1">
      <c r="A13" s="34">
        <v>4</v>
      </c>
      <c r="B13" s="36" t="s">
        <v>42</v>
      </c>
      <c r="C13" s="36" t="s">
        <v>42</v>
      </c>
      <c r="D13" s="36" t="s">
        <v>43</v>
      </c>
      <c r="E13" s="37" t="s">
        <v>38</v>
      </c>
      <c r="F13" s="38" t="s">
        <v>39</v>
      </c>
      <c r="G13" s="35" t="s">
        <v>40</v>
      </c>
      <c r="H13" s="38" t="s">
        <v>39</v>
      </c>
      <c r="I13" s="35" t="s">
        <v>40</v>
      </c>
      <c r="J13" s="39">
        <f t="shared" si="0"/>
        <v>100</v>
      </c>
      <c r="K13" s="35" t="s">
        <v>40</v>
      </c>
      <c r="L13" s="35" t="s">
        <v>40</v>
      </c>
      <c r="M13" s="40" t="s">
        <v>39</v>
      </c>
      <c r="N13" s="67">
        <f>0.09228*1</f>
        <v>9.2280000000000001E-2</v>
      </c>
      <c r="O13" s="67" t="s">
        <v>39</v>
      </c>
      <c r="P13" s="67">
        <f>0.06167*1</f>
        <v>6.1670000000000003E-2</v>
      </c>
      <c r="Q13" s="40">
        <f t="shared" si="1"/>
        <v>66.829215431296063</v>
      </c>
      <c r="R13" s="40">
        <f>6.60957*1</f>
        <v>6.6095699999999997</v>
      </c>
      <c r="S13" s="40">
        <f>6.60957*1</f>
        <v>6.6095699999999997</v>
      </c>
      <c r="T13" s="3"/>
      <c r="U13" s="3"/>
    </row>
    <row r="14" spans="1:21" s="4" customFormat="1" ht="57" customHeight="1">
      <c r="A14" s="34">
        <v>5</v>
      </c>
      <c r="B14" s="37" t="s">
        <v>44</v>
      </c>
      <c r="C14" s="36" t="s">
        <v>44</v>
      </c>
      <c r="D14" s="37" t="s">
        <v>45</v>
      </c>
      <c r="E14" s="37" t="s">
        <v>38</v>
      </c>
      <c r="F14" s="38">
        <v>16</v>
      </c>
      <c r="G14" s="35" t="s">
        <v>31</v>
      </c>
      <c r="H14" s="40">
        <f>G14/F14*100</f>
        <v>93.75</v>
      </c>
      <c r="I14" s="35" t="s">
        <v>46</v>
      </c>
      <c r="J14" s="39">
        <f t="shared" si="0"/>
        <v>133.33333333333331</v>
      </c>
      <c r="K14" s="35" t="s">
        <v>21</v>
      </c>
      <c r="L14" s="35" t="s">
        <v>21</v>
      </c>
      <c r="M14" s="18">
        <v>6</v>
      </c>
      <c r="N14" s="40">
        <f>0.10314*15</f>
        <v>1.5470999999999999</v>
      </c>
      <c r="O14" s="40">
        <f>N14/M14*100</f>
        <v>25.784999999999997</v>
      </c>
      <c r="P14" s="40">
        <f>0.08607*20</f>
        <v>1.7213999999999998</v>
      </c>
      <c r="Q14" s="40">
        <f t="shared" si="1"/>
        <v>111.26624006205157</v>
      </c>
      <c r="R14" s="40">
        <f>0.15202*5</f>
        <v>0.7601</v>
      </c>
      <c r="S14" s="40">
        <f>0.15202*5</f>
        <v>0.7601</v>
      </c>
      <c r="T14" s="3"/>
      <c r="U14" s="3"/>
    </row>
    <row r="15" spans="1:21" s="4" customFormat="1" ht="51" customHeight="1">
      <c r="A15" s="34">
        <v>6</v>
      </c>
      <c r="B15" s="37" t="s">
        <v>48</v>
      </c>
      <c r="C15" s="36" t="s">
        <v>48</v>
      </c>
      <c r="D15" s="37" t="s">
        <v>49</v>
      </c>
      <c r="E15" s="37" t="s">
        <v>38</v>
      </c>
      <c r="F15" s="38">
        <v>1</v>
      </c>
      <c r="G15" s="35" t="s">
        <v>18</v>
      </c>
      <c r="H15" s="40">
        <f t="shared" ref="H15:H20" si="2">G15/F15*100</f>
        <v>200</v>
      </c>
      <c r="I15" s="35" t="s">
        <v>21</v>
      </c>
      <c r="J15" s="39">
        <f t="shared" si="0"/>
        <v>250</v>
      </c>
      <c r="K15" s="35" t="s">
        <v>39</v>
      </c>
      <c r="L15" s="35" t="s">
        <v>39</v>
      </c>
      <c r="M15" s="18">
        <v>0.76</v>
      </c>
      <c r="N15" s="40">
        <f>0.09228*2</f>
        <v>0.18456</v>
      </c>
      <c r="O15" s="40">
        <f t="shared" ref="O15:O27" si="3">N15/M15*100</f>
        <v>24.284210526315789</v>
      </c>
      <c r="P15" s="40">
        <f>0.06551*5</f>
        <v>0.32755000000000001</v>
      </c>
      <c r="Q15" s="40">
        <f t="shared" si="1"/>
        <v>177.47615951452102</v>
      </c>
      <c r="R15" s="40">
        <v>0</v>
      </c>
      <c r="S15" s="40">
        <v>0</v>
      </c>
      <c r="T15" s="3"/>
      <c r="U15" s="3"/>
    </row>
    <row r="16" spans="1:21" s="4" customFormat="1" ht="53.25" customHeight="1">
      <c r="A16" s="34">
        <v>7</v>
      </c>
      <c r="B16" s="37" t="s">
        <v>48</v>
      </c>
      <c r="C16" s="36" t="s">
        <v>48</v>
      </c>
      <c r="D16" s="37" t="s">
        <v>49</v>
      </c>
      <c r="E16" s="37" t="s">
        <v>38</v>
      </c>
      <c r="F16" s="38">
        <v>1</v>
      </c>
      <c r="G16" s="35" t="s">
        <v>40</v>
      </c>
      <c r="H16" s="40">
        <f t="shared" si="2"/>
        <v>100</v>
      </c>
      <c r="I16" s="35" t="s">
        <v>40</v>
      </c>
      <c r="J16" s="39">
        <f t="shared" si="0"/>
        <v>100</v>
      </c>
      <c r="K16" s="35" t="s">
        <v>39</v>
      </c>
      <c r="L16" s="35" t="s">
        <v>39</v>
      </c>
      <c r="M16" s="18">
        <v>0.76</v>
      </c>
      <c r="N16" s="40">
        <f>0.09228*1</f>
        <v>9.2280000000000001E-2</v>
      </c>
      <c r="O16" s="40">
        <f t="shared" si="3"/>
        <v>12.142105263157895</v>
      </c>
      <c r="P16" s="40">
        <f>0.06551*1</f>
        <v>6.5509999999999999E-2</v>
      </c>
      <c r="Q16" s="40">
        <f t="shared" si="1"/>
        <v>70.990463805808417</v>
      </c>
      <c r="R16" s="40">
        <v>0</v>
      </c>
      <c r="S16" s="40">
        <v>0</v>
      </c>
      <c r="T16" s="3"/>
      <c r="U16" s="3"/>
    </row>
    <row r="17" spans="1:21" s="4" customFormat="1" ht="122.25" customHeight="1">
      <c r="A17" s="34">
        <v>8</v>
      </c>
      <c r="B17" s="37" t="s">
        <v>51</v>
      </c>
      <c r="C17" s="37" t="s">
        <v>52</v>
      </c>
      <c r="D17" s="37" t="s">
        <v>53</v>
      </c>
      <c r="E17" s="37" t="s">
        <v>38</v>
      </c>
      <c r="F17" s="38">
        <v>168</v>
      </c>
      <c r="G17" s="35" t="s">
        <v>50</v>
      </c>
      <c r="H17" s="40">
        <f t="shared" si="2"/>
        <v>119.04761904761905</v>
      </c>
      <c r="I17" s="35" t="s">
        <v>50</v>
      </c>
      <c r="J17" s="39">
        <f t="shared" si="0"/>
        <v>100</v>
      </c>
      <c r="K17" s="35" t="s">
        <v>41</v>
      </c>
      <c r="L17" s="35" t="s">
        <v>41</v>
      </c>
      <c r="M17" s="18">
        <v>94.85</v>
      </c>
      <c r="N17" s="40">
        <f>0.09227*200</f>
        <v>18.454000000000001</v>
      </c>
      <c r="O17" s="40">
        <f t="shared" si="3"/>
        <v>19.455983131259885</v>
      </c>
      <c r="P17" s="40">
        <f>0.07395*200</f>
        <v>14.790000000000001</v>
      </c>
      <c r="Q17" s="40">
        <f t="shared" si="1"/>
        <v>80.14522596726998</v>
      </c>
      <c r="R17" s="40">
        <f>6.62745*100</f>
        <v>662.745</v>
      </c>
      <c r="S17" s="40">
        <f>6.62745*100</f>
        <v>662.745</v>
      </c>
      <c r="T17" s="3"/>
      <c r="U17" s="3"/>
    </row>
    <row r="18" spans="1:21" s="4" customFormat="1" ht="93.75" customHeight="1">
      <c r="A18" s="34">
        <v>9</v>
      </c>
      <c r="B18" s="37" t="s">
        <v>54</v>
      </c>
      <c r="C18" s="36" t="s">
        <v>55</v>
      </c>
      <c r="D18" s="37" t="s">
        <v>56</v>
      </c>
      <c r="E18" s="37" t="s">
        <v>57</v>
      </c>
      <c r="F18" s="38">
        <v>2886</v>
      </c>
      <c r="G18" s="35" t="s">
        <v>58</v>
      </c>
      <c r="H18" s="40">
        <f t="shared" si="2"/>
        <v>13270.997920997923</v>
      </c>
      <c r="I18" s="35" t="s">
        <v>59</v>
      </c>
      <c r="J18" s="39">
        <f t="shared" si="0"/>
        <v>132.6367294080172</v>
      </c>
      <c r="K18" s="35" t="s">
        <v>39</v>
      </c>
      <c r="L18" s="35" t="s">
        <v>39</v>
      </c>
      <c r="M18" s="18">
        <v>2739.82</v>
      </c>
      <c r="N18" s="40">
        <f>0.04761*383001-3235.84+0.02</f>
        <v>14998.857609999999</v>
      </c>
      <c r="O18" s="40">
        <f t="shared" si="3"/>
        <v>547.43952558927219</v>
      </c>
      <c r="P18" s="40">
        <f>0.02805*508000+6948.8-0.01</f>
        <v>21198.190000000002</v>
      </c>
      <c r="Q18" s="40">
        <f t="shared" si="1"/>
        <v>141.3320304198821</v>
      </c>
      <c r="R18" s="40">
        <v>0</v>
      </c>
      <c r="S18" s="40">
        <v>0</v>
      </c>
      <c r="T18" s="3"/>
      <c r="U18" s="3"/>
    </row>
    <row r="19" spans="1:21" s="4" customFormat="1" ht="93" customHeight="1">
      <c r="A19" s="34">
        <v>10</v>
      </c>
      <c r="B19" s="36" t="s">
        <v>60</v>
      </c>
      <c r="C19" s="36" t="s">
        <v>60</v>
      </c>
      <c r="D19" s="37" t="s">
        <v>61</v>
      </c>
      <c r="E19" s="37" t="s">
        <v>57</v>
      </c>
      <c r="F19" s="38">
        <v>1</v>
      </c>
      <c r="G19" s="35" t="s">
        <v>18</v>
      </c>
      <c r="H19" s="40">
        <f t="shared" si="2"/>
        <v>200</v>
      </c>
      <c r="I19" s="35" t="s">
        <v>19</v>
      </c>
      <c r="J19" s="39">
        <f t="shared" si="0"/>
        <v>150</v>
      </c>
      <c r="K19" s="35" t="s">
        <v>19</v>
      </c>
      <c r="L19" s="35" t="s">
        <v>19</v>
      </c>
      <c r="M19" s="18">
        <v>0.93</v>
      </c>
      <c r="N19" s="40">
        <f>0.08062*2</f>
        <v>0.16123999999999999</v>
      </c>
      <c r="O19" s="40">
        <f t="shared" si="3"/>
        <v>17.337634408602149</v>
      </c>
      <c r="P19" s="40">
        <f>0.04806*3</f>
        <v>0.14418</v>
      </c>
      <c r="Q19" s="40">
        <f t="shared" si="1"/>
        <v>89.419498883651698</v>
      </c>
      <c r="R19" s="40">
        <f>13.06653*3</f>
        <v>39.199590000000001</v>
      </c>
      <c r="S19" s="40">
        <f>13.06653*3</f>
        <v>39.199590000000001</v>
      </c>
      <c r="T19" s="3"/>
      <c r="U19" s="3"/>
    </row>
    <row r="20" spans="1:21" s="4" customFormat="1" ht="213.75" customHeight="1">
      <c r="A20" s="34">
        <v>11</v>
      </c>
      <c r="B20" s="37" t="s">
        <v>62</v>
      </c>
      <c r="C20" s="41" t="s">
        <v>63</v>
      </c>
      <c r="D20" s="37" t="s">
        <v>64</v>
      </c>
      <c r="E20" s="37" t="s">
        <v>57</v>
      </c>
      <c r="F20" s="38">
        <v>25881</v>
      </c>
      <c r="G20" s="35" t="s">
        <v>65</v>
      </c>
      <c r="H20" s="40">
        <f t="shared" si="2"/>
        <v>542.89246937908115</v>
      </c>
      <c r="I20" s="35" t="s">
        <v>65</v>
      </c>
      <c r="J20" s="39">
        <f t="shared" si="0"/>
        <v>100</v>
      </c>
      <c r="K20" s="35" t="s">
        <v>65</v>
      </c>
      <c r="L20" s="35" t="s">
        <v>65</v>
      </c>
      <c r="M20" s="18">
        <v>15389.62</v>
      </c>
      <c r="N20" s="40">
        <f>0.10314*140506</f>
        <v>14491.788839999999</v>
      </c>
      <c r="O20" s="40">
        <f t="shared" si="3"/>
        <v>94.165995261741344</v>
      </c>
      <c r="P20" s="40">
        <f>0.08607*140506</f>
        <v>12093.351419999999</v>
      </c>
      <c r="Q20" s="40">
        <f t="shared" si="1"/>
        <v>83.449680046538688</v>
      </c>
      <c r="R20" s="40">
        <f>0.15202*140506</f>
        <v>21359.722119999999</v>
      </c>
      <c r="S20" s="40">
        <f>0.15202*140506</f>
        <v>21359.722119999999</v>
      </c>
      <c r="T20" s="3"/>
      <c r="U20" s="3"/>
    </row>
    <row r="21" spans="1:21" s="4" customFormat="1" ht="153.75" customHeight="1">
      <c r="A21" s="34">
        <v>12</v>
      </c>
      <c r="B21" s="37" t="s">
        <v>66</v>
      </c>
      <c r="C21" s="41" t="s">
        <v>67</v>
      </c>
      <c r="D21" s="37" t="s">
        <v>39</v>
      </c>
      <c r="E21" s="37" t="s">
        <v>39</v>
      </c>
      <c r="F21" s="38" t="s">
        <v>39</v>
      </c>
      <c r="G21" s="35" t="s">
        <v>39</v>
      </c>
      <c r="H21" s="38" t="s">
        <v>39</v>
      </c>
      <c r="I21" s="35" t="s">
        <v>39</v>
      </c>
      <c r="J21" s="39" t="s">
        <v>39</v>
      </c>
      <c r="K21" s="35" t="s">
        <v>39</v>
      </c>
      <c r="L21" s="35" t="s">
        <v>39</v>
      </c>
      <c r="M21" s="18">
        <v>261.5</v>
      </c>
      <c r="N21" s="40">
        <f>0.10314*1800</f>
        <v>185.65199999999999</v>
      </c>
      <c r="O21" s="40">
        <f t="shared" si="3"/>
        <v>70.995028680688335</v>
      </c>
      <c r="P21" s="40">
        <v>154.9298</v>
      </c>
      <c r="Q21" s="40">
        <f t="shared" si="1"/>
        <v>83.451726886863597</v>
      </c>
      <c r="R21" s="40">
        <v>273.63754999999998</v>
      </c>
      <c r="S21" s="40">
        <v>273.63754999999998</v>
      </c>
      <c r="T21" s="3"/>
      <c r="U21" s="3"/>
    </row>
    <row r="22" spans="1:21" s="4" customFormat="1" ht="77.25" customHeight="1">
      <c r="A22" s="34">
        <v>13</v>
      </c>
      <c r="B22" s="37" t="s">
        <v>68</v>
      </c>
      <c r="C22" s="36" t="s">
        <v>68</v>
      </c>
      <c r="D22" s="37" t="s">
        <v>69</v>
      </c>
      <c r="E22" s="37" t="s">
        <v>57</v>
      </c>
      <c r="F22" s="38">
        <v>250</v>
      </c>
      <c r="G22" s="42" t="s">
        <v>39</v>
      </c>
      <c r="H22" s="40">
        <f>0/F22*100</f>
        <v>0</v>
      </c>
      <c r="I22" s="42" t="s">
        <v>39</v>
      </c>
      <c r="J22" s="39" t="s">
        <v>39</v>
      </c>
      <c r="K22" s="42" t="s">
        <v>39</v>
      </c>
      <c r="L22" s="35" t="s">
        <v>39</v>
      </c>
      <c r="M22" s="18">
        <v>1145.01</v>
      </c>
      <c r="N22" s="40">
        <v>0</v>
      </c>
      <c r="O22" s="40">
        <f t="shared" si="3"/>
        <v>0</v>
      </c>
      <c r="P22" s="40">
        <v>0</v>
      </c>
      <c r="Q22" s="40" t="s">
        <v>39</v>
      </c>
      <c r="R22" s="40">
        <v>0</v>
      </c>
      <c r="S22" s="40">
        <v>0</v>
      </c>
      <c r="T22" s="3"/>
      <c r="U22" s="3"/>
    </row>
    <row r="23" spans="1:21" s="4" customFormat="1" ht="76.5" customHeight="1">
      <c r="A23" s="34">
        <v>14</v>
      </c>
      <c r="B23" s="37" t="s">
        <v>68</v>
      </c>
      <c r="C23" s="36" t="s">
        <v>68</v>
      </c>
      <c r="D23" s="37" t="s">
        <v>69</v>
      </c>
      <c r="E23" s="37" t="s">
        <v>57</v>
      </c>
      <c r="F23" s="38">
        <v>250</v>
      </c>
      <c r="G23" s="35" t="s">
        <v>70</v>
      </c>
      <c r="H23" s="40">
        <f t="shared" ref="H23:H27" si="4">G23/F23*100</f>
        <v>229.2</v>
      </c>
      <c r="I23" s="35" t="s">
        <v>71</v>
      </c>
      <c r="J23" s="39">
        <f t="shared" si="0"/>
        <v>66.841186736474683</v>
      </c>
      <c r="K23" s="35" t="s">
        <v>71</v>
      </c>
      <c r="L23" s="35" t="s">
        <v>41</v>
      </c>
      <c r="M23" s="18">
        <v>1145.01</v>
      </c>
      <c r="N23" s="40">
        <f>3.42265*573</f>
        <v>1961.1784499999999</v>
      </c>
      <c r="O23" s="40">
        <f t="shared" si="3"/>
        <v>171.28046479943407</v>
      </c>
      <c r="P23" s="40">
        <f>3.94146*383</f>
        <v>1509.5791800000002</v>
      </c>
      <c r="Q23" s="40">
        <f t="shared" si="1"/>
        <v>76.973065862517515</v>
      </c>
      <c r="R23" s="40">
        <f>4.00738*383</f>
        <v>1534.8265400000003</v>
      </c>
      <c r="S23" s="40">
        <f>4.00738*100</f>
        <v>400.73800000000006</v>
      </c>
      <c r="T23" s="3"/>
      <c r="U23" s="3"/>
    </row>
    <row r="24" spans="1:21" s="4" customFormat="1" ht="79.5" customHeight="1">
      <c r="A24" s="34">
        <v>15</v>
      </c>
      <c r="B24" s="37" t="s">
        <v>72</v>
      </c>
      <c r="C24" s="36" t="s">
        <v>72</v>
      </c>
      <c r="D24" s="37" t="s">
        <v>69</v>
      </c>
      <c r="E24" s="37" t="s">
        <v>57</v>
      </c>
      <c r="F24" s="38">
        <v>877</v>
      </c>
      <c r="G24" s="35" t="s">
        <v>39</v>
      </c>
      <c r="H24" s="40">
        <f>0/F24*100</f>
        <v>0</v>
      </c>
      <c r="I24" s="35" t="s">
        <v>39</v>
      </c>
      <c r="J24" s="39" t="s">
        <v>39</v>
      </c>
      <c r="K24" s="35" t="s">
        <v>39</v>
      </c>
      <c r="L24" s="35" t="s">
        <v>39</v>
      </c>
      <c r="M24" s="18">
        <v>721.6</v>
      </c>
      <c r="N24" s="40">
        <v>0</v>
      </c>
      <c r="O24" s="40">
        <f t="shared" si="3"/>
        <v>0</v>
      </c>
      <c r="P24" s="40">
        <v>0</v>
      </c>
      <c r="Q24" s="40" t="s">
        <v>39</v>
      </c>
      <c r="R24" s="40">
        <v>0</v>
      </c>
      <c r="S24" s="40">
        <v>0</v>
      </c>
      <c r="T24" s="3"/>
      <c r="U24" s="3"/>
    </row>
    <row r="25" spans="1:21" s="4" customFormat="1" ht="75.75" customHeight="1">
      <c r="A25" s="34">
        <v>16</v>
      </c>
      <c r="B25" s="37" t="s">
        <v>72</v>
      </c>
      <c r="C25" s="36" t="s">
        <v>72</v>
      </c>
      <c r="D25" s="37" t="s">
        <v>69</v>
      </c>
      <c r="E25" s="37" t="s">
        <v>57</v>
      </c>
      <c r="F25" s="38">
        <v>877</v>
      </c>
      <c r="G25" s="35" t="s">
        <v>73</v>
      </c>
      <c r="H25" s="40">
        <f t="shared" si="4"/>
        <v>196.00912200684149</v>
      </c>
      <c r="I25" s="35" t="s">
        <v>74</v>
      </c>
      <c r="J25" s="39">
        <f t="shared" si="0"/>
        <v>93.077370564281551</v>
      </c>
      <c r="K25" s="35" t="s">
        <v>74</v>
      </c>
      <c r="L25" s="35" t="s">
        <v>50</v>
      </c>
      <c r="M25" s="18">
        <v>721.6</v>
      </c>
      <c r="N25" s="40">
        <f>1.33041*1719</f>
        <v>2286.9747900000002</v>
      </c>
      <c r="O25" s="40">
        <f t="shared" si="3"/>
        <v>316.93109617516632</v>
      </c>
      <c r="P25" s="40">
        <f>1.48543*1600</f>
        <v>2376.6880000000001</v>
      </c>
      <c r="Q25" s="40">
        <f t="shared" si="1"/>
        <v>103.92278963424866</v>
      </c>
      <c r="R25" s="40">
        <f>1.54998*1600</f>
        <v>2479.9679999999998</v>
      </c>
      <c r="S25" s="40">
        <f>1.54998*200</f>
        <v>309.99599999999998</v>
      </c>
      <c r="T25" s="3"/>
      <c r="U25" s="3"/>
    </row>
    <row r="26" spans="1:21" s="4" customFormat="1" ht="77.25" customHeight="1">
      <c r="A26" s="34">
        <v>17</v>
      </c>
      <c r="B26" s="37" t="s">
        <v>75</v>
      </c>
      <c r="C26" s="36" t="s">
        <v>76</v>
      </c>
      <c r="D26" s="37" t="s">
        <v>77</v>
      </c>
      <c r="E26" s="37" t="s">
        <v>57</v>
      </c>
      <c r="F26" s="38">
        <v>17</v>
      </c>
      <c r="G26" s="35" t="s">
        <v>47</v>
      </c>
      <c r="H26" s="40">
        <f t="shared" si="4"/>
        <v>152.94117647058823</v>
      </c>
      <c r="I26" s="35" t="s">
        <v>78</v>
      </c>
      <c r="J26" s="39">
        <f t="shared" si="0"/>
        <v>169.23076923076923</v>
      </c>
      <c r="K26" s="35" t="s">
        <v>78</v>
      </c>
      <c r="L26" s="35" t="s">
        <v>46</v>
      </c>
      <c r="M26" s="18">
        <v>1138.43</v>
      </c>
      <c r="N26" s="40">
        <f>49.68641*26</f>
        <v>1291.8466600000002</v>
      </c>
      <c r="O26" s="40">
        <f t="shared" si="3"/>
        <v>113.47616102878526</v>
      </c>
      <c r="P26" s="40">
        <f>30.83104*44</f>
        <v>1356.56576</v>
      </c>
      <c r="Q26" s="40">
        <f t="shared" si="1"/>
        <v>105.00981285193707</v>
      </c>
      <c r="R26" s="40">
        <f>30.91623*44</f>
        <v>1360.31412</v>
      </c>
      <c r="S26" s="40">
        <f>30.91623*20</f>
        <v>618.32459999999992</v>
      </c>
      <c r="T26" s="3"/>
      <c r="U26" s="3"/>
    </row>
    <row r="27" spans="1:21" s="4" customFormat="1" ht="80.25" customHeight="1">
      <c r="A27" s="34">
        <v>18</v>
      </c>
      <c r="B27" s="37" t="s">
        <v>75</v>
      </c>
      <c r="C27" s="36" t="s">
        <v>76</v>
      </c>
      <c r="D27" s="37" t="s">
        <v>77</v>
      </c>
      <c r="E27" s="37" t="s">
        <v>57</v>
      </c>
      <c r="F27" s="38">
        <v>17</v>
      </c>
      <c r="G27" s="35" t="s">
        <v>47</v>
      </c>
      <c r="H27" s="40">
        <f t="shared" si="4"/>
        <v>152.94117647058823</v>
      </c>
      <c r="I27" s="35" t="s">
        <v>78</v>
      </c>
      <c r="J27" s="39">
        <f t="shared" si="0"/>
        <v>169.23076923076923</v>
      </c>
      <c r="K27" s="35" t="s">
        <v>78</v>
      </c>
      <c r="L27" s="35" t="s">
        <v>46</v>
      </c>
      <c r="M27" s="18">
        <v>1138.43</v>
      </c>
      <c r="N27" s="40">
        <f>49.68641*26</f>
        <v>1291.8466600000002</v>
      </c>
      <c r="O27" s="40">
        <f t="shared" si="3"/>
        <v>113.47616102878526</v>
      </c>
      <c r="P27" s="40">
        <f>30.83104*44</f>
        <v>1356.56576</v>
      </c>
      <c r="Q27" s="40">
        <f t="shared" si="1"/>
        <v>105.00981285193707</v>
      </c>
      <c r="R27" s="40">
        <f>30.91623*44</f>
        <v>1360.31412</v>
      </c>
      <c r="S27" s="40">
        <f>30.91623*20</f>
        <v>618.32459999999992</v>
      </c>
      <c r="T27" s="3"/>
      <c r="U27" s="3"/>
    </row>
    <row r="28" spans="1:21" s="4" customFormat="1" ht="93.75" customHeight="1">
      <c r="A28" s="34">
        <v>19</v>
      </c>
      <c r="B28" s="36" t="s">
        <v>79</v>
      </c>
      <c r="C28" s="37" t="s">
        <v>79</v>
      </c>
      <c r="D28" s="37" t="s">
        <v>69</v>
      </c>
      <c r="E28" s="37" t="s">
        <v>57</v>
      </c>
      <c r="F28" s="38" t="s">
        <v>39</v>
      </c>
      <c r="G28" s="35" t="s">
        <v>24</v>
      </c>
      <c r="H28" s="38" t="s">
        <v>39</v>
      </c>
      <c r="I28" s="35" t="s">
        <v>80</v>
      </c>
      <c r="J28" s="39">
        <f t="shared" si="0"/>
        <v>362.5</v>
      </c>
      <c r="K28" s="35" t="s">
        <v>80</v>
      </c>
      <c r="L28" s="35" t="s">
        <v>81</v>
      </c>
      <c r="M28" s="40" t="s">
        <v>39</v>
      </c>
      <c r="N28" s="40">
        <f>7.15475*8</f>
        <v>57.238</v>
      </c>
      <c r="O28" s="40" t="s">
        <v>39</v>
      </c>
      <c r="P28" s="40">
        <f>4.36862*29</f>
        <v>126.68997999999999</v>
      </c>
      <c r="Q28" s="40">
        <f t="shared" si="1"/>
        <v>221.33893567210592</v>
      </c>
      <c r="R28" s="40">
        <f>4.43451*29</f>
        <v>128.60079000000002</v>
      </c>
      <c r="S28" s="40">
        <f>4.43451*22</f>
        <v>97.55922000000001</v>
      </c>
      <c r="T28" s="3"/>
      <c r="U28" s="3"/>
    </row>
    <row r="29" spans="1:21" s="4" customFormat="1" ht="96.75" customHeight="1">
      <c r="A29" s="34">
        <v>20</v>
      </c>
      <c r="B29" s="37" t="s">
        <v>82</v>
      </c>
      <c r="C29" s="36" t="s">
        <v>82</v>
      </c>
      <c r="D29" s="37" t="s">
        <v>69</v>
      </c>
      <c r="E29" s="37" t="s">
        <v>57</v>
      </c>
      <c r="F29" s="38">
        <v>8</v>
      </c>
      <c r="G29" s="35" t="s">
        <v>39</v>
      </c>
      <c r="H29" s="40">
        <f>0/F29*100</f>
        <v>0</v>
      </c>
      <c r="I29" s="35" t="s">
        <v>39</v>
      </c>
      <c r="J29" s="39" t="s">
        <v>39</v>
      </c>
      <c r="K29" s="35" t="s">
        <v>39</v>
      </c>
      <c r="L29" s="35" t="s">
        <v>39</v>
      </c>
      <c r="M29" s="18">
        <v>79.98</v>
      </c>
      <c r="N29" s="40">
        <v>0</v>
      </c>
      <c r="O29" s="40">
        <f>N29/M29*100</f>
        <v>0</v>
      </c>
      <c r="P29" s="40">
        <v>0</v>
      </c>
      <c r="Q29" s="40" t="s">
        <v>39</v>
      </c>
      <c r="R29" s="40">
        <v>0</v>
      </c>
      <c r="S29" s="40">
        <v>0</v>
      </c>
      <c r="T29" s="3"/>
      <c r="U29" s="3"/>
    </row>
    <row r="30" spans="1:21" s="4" customFormat="1" ht="136.5" customHeight="1">
      <c r="A30" s="34">
        <v>21</v>
      </c>
      <c r="B30" s="36" t="s">
        <v>83</v>
      </c>
      <c r="C30" s="41" t="s">
        <v>84</v>
      </c>
      <c r="D30" s="36" t="s">
        <v>39</v>
      </c>
      <c r="E30" s="36" t="s">
        <v>39</v>
      </c>
      <c r="F30" s="43" t="s">
        <v>39</v>
      </c>
      <c r="G30" s="44" t="s">
        <v>39</v>
      </c>
      <c r="H30" s="38" t="s">
        <v>39</v>
      </c>
      <c r="I30" s="44" t="s">
        <v>39</v>
      </c>
      <c r="J30" s="45" t="s">
        <v>39</v>
      </c>
      <c r="K30" s="44" t="s">
        <v>39</v>
      </c>
      <c r="L30" s="44" t="s">
        <v>39</v>
      </c>
      <c r="M30" s="46" t="s">
        <v>39</v>
      </c>
      <c r="N30" s="47">
        <f>14.284</f>
        <v>14.284000000000001</v>
      </c>
      <c r="O30" s="47" t="s">
        <v>39</v>
      </c>
      <c r="P30" s="47">
        <v>8.4137599999999999</v>
      </c>
      <c r="Q30" s="40">
        <f t="shared" si="1"/>
        <v>58.903388406608791</v>
      </c>
      <c r="R30" s="47">
        <f>3918.234+2928.5+0.01</f>
        <v>6846.7440000000006</v>
      </c>
      <c r="S30" s="47">
        <f>10015.81+0.01</f>
        <v>10015.82</v>
      </c>
      <c r="T30" s="3"/>
      <c r="U30" s="3"/>
    </row>
    <row r="31" spans="1:21" s="4" customFormat="1" ht="53.25" customHeight="1">
      <c r="A31" s="34">
        <v>22</v>
      </c>
      <c r="B31" s="36" t="s">
        <v>85</v>
      </c>
      <c r="C31" s="36" t="s">
        <v>86</v>
      </c>
      <c r="D31" s="37" t="s">
        <v>69</v>
      </c>
      <c r="E31" s="37" t="s">
        <v>57</v>
      </c>
      <c r="F31" s="43" t="s">
        <v>39</v>
      </c>
      <c r="G31" s="44" t="s">
        <v>40</v>
      </c>
      <c r="H31" s="38" t="s">
        <v>39</v>
      </c>
      <c r="I31" s="44" t="s">
        <v>39</v>
      </c>
      <c r="J31" s="45" t="s">
        <v>39</v>
      </c>
      <c r="K31" s="44" t="s">
        <v>39</v>
      </c>
      <c r="L31" s="44" t="s">
        <v>39</v>
      </c>
      <c r="M31" s="46" t="s">
        <v>39</v>
      </c>
      <c r="N31" s="46">
        <v>613</v>
      </c>
      <c r="O31" s="46" t="s">
        <v>39</v>
      </c>
      <c r="P31" s="46">
        <v>0</v>
      </c>
      <c r="Q31" s="40">
        <f t="shared" si="1"/>
        <v>0</v>
      </c>
      <c r="R31" s="46">
        <v>0</v>
      </c>
      <c r="S31" s="46">
        <v>0</v>
      </c>
      <c r="T31" s="3"/>
      <c r="U31" s="3"/>
    </row>
    <row r="32" spans="1:21" s="4" customFormat="1" ht="65.25" customHeight="1">
      <c r="A32" s="34">
        <v>23</v>
      </c>
      <c r="B32" s="36" t="s">
        <v>87</v>
      </c>
      <c r="C32" s="36" t="s">
        <v>87</v>
      </c>
      <c r="D32" s="36" t="s">
        <v>88</v>
      </c>
      <c r="E32" s="37" t="s">
        <v>38</v>
      </c>
      <c r="F32" s="43" t="s">
        <v>39</v>
      </c>
      <c r="G32" s="44" t="s">
        <v>39</v>
      </c>
      <c r="H32" s="38" t="s">
        <v>39</v>
      </c>
      <c r="I32" s="44" t="s">
        <v>39</v>
      </c>
      <c r="J32" s="45" t="s">
        <v>39</v>
      </c>
      <c r="K32" s="44" t="s">
        <v>39</v>
      </c>
      <c r="L32" s="44" t="s">
        <v>89</v>
      </c>
      <c r="M32" s="46" t="s">
        <v>39</v>
      </c>
      <c r="N32" s="46">
        <v>0</v>
      </c>
      <c r="O32" s="46" t="s">
        <v>39</v>
      </c>
      <c r="P32" s="46">
        <v>0</v>
      </c>
      <c r="Q32" s="40" t="s">
        <v>39</v>
      </c>
      <c r="R32" s="46">
        <v>0</v>
      </c>
      <c r="S32" s="46">
        <f>50*L32</f>
        <v>1500</v>
      </c>
      <c r="T32" s="3"/>
      <c r="U32" s="3"/>
    </row>
    <row r="33" spans="1:21" s="4" customFormat="1" ht="66" customHeight="1">
      <c r="A33" s="34">
        <v>24</v>
      </c>
      <c r="B33" s="36" t="s">
        <v>87</v>
      </c>
      <c r="C33" s="36" t="s">
        <v>87</v>
      </c>
      <c r="D33" s="36" t="s">
        <v>88</v>
      </c>
      <c r="E33" s="37" t="s">
        <v>38</v>
      </c>
      <c r="F33" s="43" t="s">
        <v>39</v>
      </c>
      <c r="G33" s="44" t="s">
        <v>39</v>
      </c>
      <c r="H33" s="133" t="s">
        <v>39</v>
      </c>
      <c r="I33" s="44" t="s">
        <v>39</v>
      </c>
      <c r="J33" s="45" t="s">
        <v>39</v>
      </c>
      <c r="K33" s="44" t="s">
        <v>39</v>
      </c>
      <c r="L33" s="44" t="s">
        <v>19</v>
      </c>
      <c r="M33" s="46" t="s">
        <v>39</v>
      </c>
      <c r="N33" s="46">
        <v>0</v>
      </c>
      <c r="O33" s="46" t="s">
        <v>39</v>
      </c>
      <c r="P33" s="46">
        <v>0</v>
      </c>
      <c r="Q33" s="40" t="s">
        <v>39</v>
      </c>
      <c r="R33" s="46">
        <v>0</v>
      </c>
      <c r="S33" s="46">
        <f>50*L33</f>
        <v>150</v>
      </c>
      <c r="T33" s="3"/>
      <c r="U33" s="3"/>
    </row>
    <row r="34" spans="1:21" ht="19.5" customHeight="1">
      <c r="A34" s="333" t="s">
        <v>263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6">
        <f>SUM(M10:M33)</f>
        <v>24584.299999999996</v>
      </c>
      <c r="N34" s="6">
        <f>SUM(N10:N33)</f>
        <v>37213.567589999999</v>
      </c>
      <c r="O34" s="6">
        <f>N34/M34*100</f>
        <v>151.37127186863162</v>
      </c>
      <c r="P34" s="6">
        <f t="shared" ref="P34:S34" si="5">SUM(P10:P33)</f>
        <v>40198.905660000004</v>
      </c>
      <c r="Q34" s="6">
        <f>P34/N34*100</f>
        <v>108.02217648920664</v>
      </c>
      <c r="R34" s="6">
        <f t="shared" si="5"/>
        <v>36179.031369999997</v>
      </c>
      <c r="S34" s="6">
        <f t="shared" si="5"/>
        <v>36179.02622</v>
      </c>
    </row>
  </sheetData>
  <mergeCells count="11">
    <mergeCell ref="A34:L34"/>
    <mergeCell ref="M7:S7"/>
    <mergeCell ref="A2:S2"/>
    <mergeCell ref="A6:A8"/>
    <mergeCell ref="B6:B8"/>
    <mergeCell ref="C6:C8"/>
    <mergeCell ref="D6:L6"/>
    <mergeCell ref="M6:S6"/>
    <mergeCell ref="D7:D8"/>
    <mergeCell ref="E7:E8"/>
    <mergeCell ref="F7:L7"/>
  </mergeCells>
  <pageMargins left="0.78740157480314965" right="0.39370078740157483" top="0.78740157480314965" bottom="0.39370078740157483" header="0.31496062992125984" footer="0.31496062992125984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1"/>
  <sheetViews>
    <sheetView zoomScale="90" zoomScaleNormal="90" zoomScaleSheetLayoutView="90" workbookViewId="0">
      <pane xSplit="4" ySplit="10" topLeftCell="E47" activePane="bottomRight" state="frozen"/>
      <selection pane="topRight" activeCell="E1" sqref="E1"/>
      <selection pane="bottomLeft" activeCell="A11" sqref="A11"/>
      <selection pane="bottomRight" activeCell="P49" sqref="P49"/>
    </sheetView>
  </sheetViews>
  <sheetFormatPr defaultRowHeight="15"/>
  <cols>
    <col min="1" max="1" width="5.7109375" customWidth="1"/>
    <col min="2" max="2" width="37.7109375" customWidth="1"/>
    <col min="3" max="3" width="31.85546875" customWidth="1"/>
    <col min="4" max="4" width="28.42578125" customWidth="1"/>
    <col min="5" max="5" width="10.42578125" customWidth="1"/>
    <col min="6" max="6" width="12.8554687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9.42578125" customWidth="1"/>
    <col min="16" max="16" width="12.140625" customWidth="1"/>
    <col min="17" max="17" width="10" customWidth="1"/>
    <col min="18" max="18" width="11.85546875" customWidth="1"/>
    <col min="19" max="19" width="12.5703125" customWidth="1"/>
  </cols>
  <sheetData>
    <row r="1" spans="1:21" ht="15" customHeight="1"/>
    <row r="2" spans="1:21" ht="21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1" customHeight="1">
      <c r="A4" s="27" t="s">
        <v>264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7.25" customHeight="1"/>
    <row r="6" spans="1:21" ht="42.75" customHeight="1">
      <c r="A6" s="289" t="s">
        <v>3</v>
      </c>
      <c r="B6" s="289" t="s">
        <v>4</v>
      </c>
      <c r="C6" s="334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21" ht="19.5" customHeight="1">
      <c r="A7" s="289"/>
      <c r="B7" s="289"/>
      <c r="C7" s="335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  <c r="T7" s="2"/>
      <c r="U7" s="2"/>
    </row>
    <row r="8" spans="1:21" ht="60.75" customHeight="1">
      <c r="A8" s="289"/>
      <c r="B8" s="289"/>
      <c r="C8" s="336"/>
      <c r="D8" s="289"/>
      <c r="E8" s="289"/>
      <c r="F8" s="48" t="s">
        <v>11</v>
      </c>
      <c r="G8" s="49" t="s">
        <v>12</v>
      </c>
      <c r="H8" s="50" t="s">
        <v>13</v>
      </c>
      <c r="I8" s="49" t="s">
        <v>14</v>
      </c>
      <c r="J8" s="50" t="s">
        <v>15</v>
      </c>
      <c r="K8" s="49" t="s">
        <v>16</v>
      </c>
      <c r="L8" s="49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  <c r="T8" s="2"/>
      <c r="U8" s="2"/>
    </row>
    <row r="9" spans="1:21" ht="15.75" customHeight="1">
      <c r="A9" s="52">
        <v>1</v>
      </c>
      <c r="B9" s="53" t="s">
        <v>18</v>
      </c>
      <c r="C9" s="53" t="s">
        <v>19</v>
      </c>
      <c r="D9" s="53" t="s">
        <v>20</v>
      </c>
      <c r="E9" s="53" t="s">
        <v>21</v>
      </c>
      <c r="F9" s="53" t="s">
        <v>22</v>
      </c>
      <c r="G9" s="53" t="s">
        <v>23</v>
      </c>
      <c r="H9" s="53" t="s">
        <v>24</v>
      </c>
      <c r="I9" s="53" t="s">
        <v>25</v>
      </c>
      <c r="J9" s="53" t="s">
        <v>26</v>
      </c>
      <c r="K9" s="53" t="s">
        <v>27</v>
      </c>
      <c r="L9" s="53" t="s">
        <v>28</v>
      </c>
      <c r="M9" s="53" t="s">
        <v>29</v>
      </c>
      <c r="N9" s="53" t="s">
        <v>30</v>
      </c>
      <c r="O9" s="53" t="s">
        <v>31</v>
      </c>
      <c r="P9" s="53" t="s">
        <v>32</v>
      </c>
      <c r="Q9" s="53" t="s">
        <v>33</v>
      </c>
      <c r="R9" s="53" t="s">
        <v>34</v>
      </c>
      <c r="S9" s="53" t="s">
        <v>35</v>
      </c>
      <c r="T9" s="2"/>
      <c r="U9" s="2"/>
    </row>
    <row r="10" spans="1:21" ht="15.75" hidden="1" customHeight="1">
      <c r="A10" s="337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9"/>
      <c r="T10" s="2"/>
      <c r="U10" s="2"/>
    </row>
    <row r="11" spans="1:21" ht="32.25" customHeight="1">
      <c r="A11" s="286">
        <v>1</v>
      </c>
      <c r="B11" s="283" t="s">
        <v>107</v>
      </c>
      <c r="C11" s="283" t="s">
        <v>108</v>
      </c>
      <c r="D11" s="54" t="s">
        <v>107</v>
      </c>
      <c r="E11" s="55" t="s">
        <v>109</v>
      </c>
      <c r="F11" s="56">
        <v>18</v>
      </c>
      <c r="G11" s="57">
        <v>18</v>
      </c>
      <c r="H11" s="58">
        <f>IF(F11&lt;&gt;0,G11/F11*100,"")</f>
        <v>100</v>
      </c>
      <c r="I11" s="57">
        <v>18</v>
      </c>
      <c r="J11" s="56">
        <f>IF(G11&lt;&gt;0,I11/G11*100,"")</f>
        <v>100</v>
      </c>
      <c r="K11" s="57">
        <v>18</v>
      </c>
      <c r="L11" s="57">
        <v>18</v>
      </c>
      <c r="M11" s="294">
        <v>222649.3</v>
      </c>
      <c r="N11" s="294">
        <v>260462.72</v>
      </c>
      <c r="O11" s="294">
        <f>IF(M11&lt;&gt;0,N11/M11*100,"")</f>
        <v>116.9833994537598</v>
      </c>
      <c r="P11" s="294">
        <v>297026.27</v>
      </c>
      <c r="Q11" s="294">
        <f>IF(N11&lt;&gt;0,P11/N11*100,"")</f>
        <v>114.03792066672729</v>
      </c>
      <c r="R11" s="294">
        <f>ROUND(P11*0.9,2)</f>
        <v>267323.64</v>
      </c>
      <c r="S11" s="294">
        <f>R11</f>
        <v>267323.64</v>
      </c>
    </row>
    <row r="12" spans="1:21" ht="32.25" customHeight="1">
      <c r="A12" s="286"/>
      <c r="B12" s="283"/>
      <c r="C12" s="283"/>
      <c r="D12" s="54" t="s">
        <v>110</v>
      </c>
      <c r="E12" s="55" t="s">
        <v>111</v>
      </c>
      <c r="F12" s="56">
        <v>72763.3</v>
      </c>
      <c r="G12" s="56">
        <v>73693.287500000006</v>
      </c>
      <c r="H12" s="58">
        <f t="shared" ref="H12:H48" si="0">IF(F12&lt;&gt;0,G12/F12*100,"")</f>
        <v>101.27809967387407</v>
      </c>
      <c r="I12" s="56">
        <v>73693.287500000006</v>
      </c>
      <c r="J12" s="56">
        <f t="shared" ref="J12:J48" si="1">IF(G12&lt;&gt;0,I12/G12*100,"")</f>
        <v>100</v>
      </c>
      <c r="K12" s="56">
        <v>73693.287500000006</v>
      </c>
      <c r="L12" s="56">
        <v>73693.287500000006</v>
      </c>
      <c r="M12" s="294"/>
      <c r="N12" s="294"/>
      <c r="O12" s="294"/>
      <c r="P12" s="294"/>
      <c r="Q12" s="294"/>
      <c r="R12" s="294"/>
      <c r="S12" s="294"/>
    </row>
    <row r="13" spans="1:21" ht="47.25" customHeight="1">
      <c r="A13" s="286">
        <v>2</v>
      </c>
      <c r="B13" s="343" t="s">
        <v>112</v>
      </c>
      <c r="C13" s="343" t="s">
        <v>112</v>
      </c>
      <c r="D13" s="54" t="s">
        <v>113</v>
      </c>
      <c r="E13" s="55" t="s">
        <v>109</v>
      </c>
      <c r="F13" s="56">
        <v>3</v>
      </c>
      <c r="G13" s="57">
        <v>3</v>
      </c>
      <c r="H13" s="59">
        <f t="shared" si="0"/>
        <v>100</v>
      </c>
      <c r="I13" s="57">
        <v>3</v>
      </c>
      <c r="J13" s="60">
        <f t="shared" si="1"/>
        <v>100</v>
      </c>
      <c r="K13" s="57">
        <v>3</v>
      </c>
      <c r="L13" s="57">
        <v>3</v>
      </c>
      <c r="M13" s="345">
        <v>42021.21</v>
      </c>
      <c r="N13" s="345">
        <v>47966.39</v>
      </c>
      <c r="O13" s="345">
        <f>IF(M13&lt;&gt;0,N13/M13*100,"")</f>
        <v>114.14804571310535</v>
      </c>
      <c r="P13" s="345">
        <v>53260.35</v>
      </c>
      <c r="Q13" s="345">
        <f>IF(N13&lt;&gt;0,P13/N13*100,"")</f>
        <v>111.0368114006495</v>
      </c>
      <c r="R13" s="345">
        <f>ROUND(P13*0.9,2)</f>
        <v>47934.32</v>
      </c>
      <c r="S13" s="345">
        <f>R13</f>
        <v>47934.32</v>
      </c>
    </row>
    <row r="14" spans="1:21" ht="63.75" customHeight="1">
      <c r="A14" s="286"/>
      <c r="B14" s="344"/>
      <c r="C14" s="344"/>
      <c r="D14" s="61" t="s">
        <v>114</v>
      </c>
      <c r="E14" s="62" t="s">
        <v>111</v>
      </c>
      <c r="F14" s="56">
        <v>12045</v>
      </c>
      <c r="G14" s="56">
        <v>12045</v>
      </c>
      <c r="H14" s="59">
        <f t="shared" si="0"/>
        <v>100</v>
      </c>
      <c r="I14" s="56">
        <v>12045</v>
      </c>
      <c r="J14" s="60">
        <f t="shared" si="1"/>
        <v>100</v>
      </c>
      <c r="K14" s="56">
        <v>12045</v>
      </c>
      <c r="L14" s="56">
        <v>12045</v>
      </c>
      <c r="M14" s="346"/>
      <c r="N14" s="346"/>
      <c r="O14" s="346"/>
      <c r="P14" s="346"/>
      <c r="Q14" s="346"/>
      <c r="R14" s="346"/>
      <c r="S14" s="346"/>
    </row>
    <row r="15" spans="1:21" ht="66.75" customHeight="1">
      <c r="A15" s="19">
        <v>3</v>
      </c>
      <c r="B15" s="55" t="s">
        <v>115</v>
      </c>
      <c r="C15" s="55" t="s">
        <v>116</v>
      </c>
      <c r="D15" s="63" t="s">
        <v>117</v>
      </c>
      <c r="E15" s="62" t="s">
        <v>118</v>
      </c>
      <c r="F15" s="56">
        <v>128</v>
      </c>
      <c r="G15" s="56">
        <v>202</v>
      </c>
      <c r="H15" s="59">
        <f t="shared" si="0"/>
        <v>157.8125</v>
      </c>
      <c r="I15" s="56">
        <v>202</v>
      </c>
      <c r="J15" s="60">
        <f t="shared" si="1"/>
        <v>100</v>
      </c>
      <c r="K15" s="56">
        <v>202</v>
      </c>
      <c r="L15" s="56">
        <v>202</v>
      </c>
      <c r="M15" s="58">
        <v>3131.63</v>
      </c>
      <c r="N15" s="58">
        <v>10605.33</v>
      </c>
      <c r="O15" s="58">
        <f>IF(M15&lt;&gt;0,N15/M15*100,"")</f>
        <v>338.65207575607587</v>
      </c>
      <c r="P15" s="58">
        <v>10121.950000000001</v>
      </c>
      <c r="Q15" s="58">
        <f>IF(N15&lt;&gt;0,P15/N15*100,"")</f>
        <v>95.442103168878305</v>
      </c>
      <c r="R15" s="58">
        <f t="shared" ref="R15:R48" si="2">ROUND(P15*0.9,2)</f>
        <v>9109.76</v>
      </c>
      <c r="S15" s="58">
        <f>R15</f>
        <v>9109.76</v>
      </c>
    </row>
    <row r="16" spans="1:21" ht="45">
      <c r="A16" s="19">
        <v>4</v>
      </c>
      <c r="B16" s="55" t="s">
        <v>119</v>
      </c>
      <c r="C16" s="55" t="s">
        <v>120</v>
      </c>
      <c r="D16" s="63" t="s">
        <v>121</v>
      </c>
      <c r="E16" s="62" t="s">
        <v>118</v>
      </c>
      <c r="F16" s="56">
        <v>20</v>
      </c>
      <c r="G16" s="56">
        <v>25</v>
      </c>
      <c r="H16" s="59">
        <f t="shared" si="0"/>
        <v>125</v>
      </c>
      <c r="I16" s="56">
        <v>25</v>
      </c>
      <c r="J16" s="60">
        <f t="shared" si="1"/>
        <v>100</v>
      </c>
      <c r="K16" s="56">
        <v>25</v>
      </c>
      <c r="L16" s="56">
        <v>25</v>
      </c>
      <c r="M16" s="58">
        <v>86.86</v>
      </c>
      <c r="N16" s="58">
        <v>164.95</v>
      </c>
      <c r="O16" s="58">
        <f t="shared" ref="O16:O49" si="3">IF(M16&lt;&gt;0,N16/M16*100,"")</f>
        <v>189.90329265484687</v>
      </c>
      <c r="P16" s="58">
        <v>174.56</v>
      </c>
      <c r="Q16" s="58">
        <f t="shared" ref="Q16:Q49" si="4">IF(N16&lt;&gt;0,P16/N16*100,"")</f>
        <v>105.82600788117614</v>
      </c>
      <c r="R16" s="58">
        <f t="shared" si="2"/>
        <v>157.1</v>
      </c>
      <c r="S16" s="58">
        <f t="shared" ref="S16:S48" si="5">R16</f>
        <v>157.1</v>
      </c>
    </row>
    <row r="17" spans="1:19" ht="37.5" customHeight="1">
      <c r="A17" s="286">
        <v>5</v>
      </c>
      <c r="B17" s="347" t="s">
        <v>122</v>
      </c>
      <c r="C17" s="55" t="s">
        <v>120</v>
      </c>
      <c r="D17" s="63" t="s">
        <v>121</v>
      </c>
      <c r="E17" s="62" t="s">
        <v>118</v>
      </c>
      <c r="F17" s="56">
        <v>361</v>
      </c>
      <c r="G17" s="56">
        <v>387</v>
      </c>
      <c r="H17" s="59">
        <f t="shared" si="0"/>
        <v>107.20221606648199</v>
      </c>
      <c r="I17" s="56">
        <v>385</v>
      </c>
      <c r="J17" s="60">
        <f t="shared" si="1"/>
        <v>99.483204134366915</v>
      </c>
      <c r="K17" s="56">
        <v>385</v>
      </c>
      <c r="L17" s="56">
        <v>385</v>
      </c>
      <c r="M17" s="58">
        <v>5004.93</v>
      </c>
      <c r="N17" s="58">
        <v>5832.15</v>
      </c>
      <c r="O17" s="58">
        <f t="shared" si="3"/>
        <v>116.52810329015588</v>
      </c>
      <c r="P17" s="58">
        <v>6031.73</v>
      </c>
      <c r="Q17" s="58">
        <f t="shared" si="4"/>
        <v>103.42206561902559</v>
      </c>
      <c r="R17" s="58">
        <f t="shared" si="2"/>
        <v>5428.56</v>
      </c>
      <c r="S17" s="58">
        <f t="shared" si="5"/>
        <v>5428.56</v>
      </c>
    </row>
    <row r="18" spans="1:19" ht="47.25" customHeight="1">
      <c r="A18" s="286"/>
      <c r="B18" s="348"/>
      <c r="C18" s="55" t="s">
        <v>123</v>
      </c>
      <c r="D18" s="63" t="s">
        <v>121</v>
      </c>
      <c r="E18" s="62" t="s">
        <v>118</v>
      </c>
      <c r="F18" s="56">
        <v>28</v>
      </c>
      <c r="G18" s="56">
        <v>23</v>
      </c>
      <c r="H18" s="59">
        <f t="shared" si="0"/>
        <v>82.142857142857139</v>
      </c>
      <c r="I18" s="56">
        <v>23</v>
      </c>
      <c r="J18" s="60">
        <f t="shared" si="1"/>
        <v>100</v>
      </c>
      <c r="K18" s="56">
        <v>23</v>
      </c>
      <c r="L18" s="56">
        <v>23</v>
      </c>
      <c r="M18" s="58">
        <v>141.69999999999999</v>
      </c>
      <c r="N18" s="58">
        <v>131.21</v>
      </c>
      <c r="O18" s="58">
        <f t="shared" si="3"/>
        <v>92.597035991531413</v>
      </c>
      <c r="P18" s="58">
        <v>143.65</v>
      </c>
      <c r="Q18" s="58">
        <f t="shared" si="4"/>
        <v>109.48098468104565</v>
      </c>
      <c r="R18" s="58">
        <f t="shared" si="2"/>
        <v>129.29</v>
      </c>
      <c r="S18" s="58">
        <f t="shared" si="5"/>
        <v>129.29</v>
      </c>
    </row>
    <row r="19" spans="1:19" ht="35.25" customHeight="1">
      <c r="A19" s="286"/>
      <c r="B19" s="349"/>
      <c r="C19" s="55" t="s">
        <v>124</v>
      </c>
      <c r="D19" s="63" t="s">
        <v>121</v>
      </c>
      <c r="E19" s="62" t="s">
        <v>118</v>
      </c>
      <c r="F19" s="56">
        <v>5</v>
      </c>
      <c r="G19" s="56">
        <v>0</v>
      </c>
      <c r="H19" s="59">
        <f>IF(F19&lt;&gt;0,G19/F19*100,"")</f>
        <v>0</v>
      </c>
      <c r="I19" s="56">
        <v>0</v>
      </c>
      <c r="J19" s="60" t="str">
        <f>IF(G19&lt;&gt;0,I19/G19*100,"")</f>
        <v/>
      </c>
      <c r="K19" s="56">
        <v>0</v>
      </c>
      <c r="L19" s="56">
        <v>0</v>
      </c>
      <c r="M19" s="58">
        <v>99.85</v>
      </c>
      <c r="N19" s="58">
        <v>0</v>
      </c>
      <c r="O19" s="58">
        <f t="shared" si="3"/>
        <v>0</v>
      </c>
      <c r="P19" s="58">
        <v>0</v>
      </c>
      <c r="Q19" s="58" t="str">
        <f t="shared" si="4"/>
        <v/>
      </c>
      <c r="R19" s="58">
        <f t="shared" si="2"/>
        <v>0</v>
      </c>
      <c r="S19" s="58">
        <f t="shared" si="5"/>
        <v>0</v>
      </c>
    </row>
    <row r="20" spans="1:19" ht="90.75" customHeight="1">
      <c r="A20" s="19">
        <v>6</v>
      </c>
      <c r="B20" s="55" t="s">
        <v>125</v>
      </c>
      <c r="C20" s="55" t="s">
        <v>126</v>
      </c>
      <c r="D20" s="63" t="s">
        <v>127</v>
      </c>
      <c r="E20" s="62" t="s">
        <v>128</v>
      </c>
      <c r="F20" s="56">
        <v>1667</v>
      </c>
      <c r="G20" s="56">
        <v>1665</v>
      </c>
      <c r="H20" s="59">
        <f>IF(F20&lt;&gt;0,G20/F20*100,"")</f>
        <v>99.880023995200958</v>
      </c>
      <c r="I20" s="56">
        <v>1715</v>
      </c>
      <c r="J20" s="60">
        <f t="shared" si="1"/>
        <v>103.003003003003</v>
      </c>
      <c r="K20" s="56">
        <v>1715</v>
      </c>
      <c r="L20" s="56">
        <v>1715</v>
      </c>
      <c r="M20" s="58">
        <v>15659.57</v>
      </c>
      <c r="N20" s="58">
        <v>19328.32</v>
      </c>
      <c r="O20" s="58">
        <f t="shared" si="3"/>
        <v>123.42816565205814</v>
      </c>
      <c r="P20" s="58">
        <v>11260.58</v>
      </c>
      <c r="Q20" s="58">
        <f t="shared" si="4"/>
        <v>58.259486597904008</v>
      </c>
      <c r="R20" s="58">
        <f t="shared" si="2"/>
        <v>10134.52</v>
      </c>
      <c r="S20" s="58">
        <f t="shared" si="5"/>
        <v>10134.52</v>
      </c>
    </row>
    <row r="21" spans="1:19" ht="75">
      <c r="A21" s="19">
        <v>7</v>
      </c>
      <c r="B21" s="55" t="s">
        <v>129</v>
      </c>
      <c r="C21" s="55" t="s">
        <v>130</v>
      </c>
      <c r="D21" s="63" t="s">
        <v>131</v>
      </c>
      <c r="E21" s="62" t="s">
        <v>118</v>
      </c>
      <c r="F21" s="56">
        <v>14</v>
      </c>
      <c r="G21" s="56">
        <v>14</v>
      </c>
      <c r="H21" s="59">
        <f t="shared" si="0"/>
        <v>100</v>
      </c>
      <c r="I21" s="56">
        <v>14</v>
      </c>
      <c r="J21" s="60">
        <f t="shared" si="1"/>
        <v>100</v>
      </c>
      <c r="K21" s="56">
        <v>14</v>
      </c>
      <c r="L21" s="56">
        <v>14</v>
      </c>
      <c r="M21" s="58">
        <v>608.13</v>
      </c>
      <c r="N21" s="58">
        <v>861.05</v>
      </c>
      <c r="O21" s="58">
        <f t="shared" si="3"/>
        <v>141.58979165638925</v>
      </c>
      <c r="P21" s="58">
        <v>985.12</v>
      </c>
      <c r="Q21" s="58">
        <f t="shared" si="4"/>
        <v>114.40915161721155</v>
      </c>
      <c r="R21" s="58">
        <f t="shared" si="2"/>
        <v>886.61</v>
      </c>
      <c r="S21" s="58">
        <f t="shared" si="5"/>
        <v>886.61</v>
      </c>
    </row>
    <row r="22" spans="1:19" ht="60">
      <c r="A22" s="19">
        <v>8</v>
      </c>
      <c r="B22" s="55" t="s">
        <v>132</v>
      </c>
      <c r="C22" s="55" t="s">
        <v>133</v>
      </c>
      <c r="D22" s="63" t="s">
        <v>117</v>
      </c>
      <c r="E22" s="62" t="s">
        <v>118</v>
      </c>
      <c r="F22" s="56">
        <v>4</v>
      </c>
      <c r="G22" s="56">
        <v>4</v>
      </c>
      <c r="H22" s="59">
        <f t="shared" si="0"/>
        <v>100</v>
      </c>
      <c r="I22" s="56">
        <v>4</v>
      </c>
      <c r="J22" s="60">
        <f t="shared" si="1"/>
        <v>100</v>
      </c>
      <c r="K22" s="56">
        <v>4</v>
      </c>
      <c r="L22" s="56">
        <v>4</v>
      </c>
      <c r="M22" s="58">
        <v>345.09</v>
      </c>
      <c r="N22" s="58">
        <v>537.22</v>
      </c>
      <c r="O22" s="58">
        <f t="shared" si="3"/>
        <v>155.67533107305343</v>
      </c>
      <c r="P22" s="58">
        <v>591.01</v>
      </c>
      <c r="Q22" s="58">
        <f t="shared" si="4"/>
        <v>110.01265775659878</v>
      </c>
      <c r="R22" s="58">
        <f t="shared" si="2"/>
        <v>531.91</v>
      </c>
      <c r="S22" s="58">
        <f t="shared" si="5"/>
        <v>531.91</v>
      </c>
    </row>
    <row r="23" spans="1:19" ht="63.75" customHeight="1">
      <c r="A23" s="19">
        <v>9</v>
      </c>
      <c r="B23" s="55" t="s">
        <v>134</v>
      </c>
      <c r="C23" s="55" t="s">
        <v>135</v>
      </c>
      <c r="D23" s="63" t="s">
        <v>117</v>
      </c>
      <c r="E23" s="62" t="s">
        <v>118</v>
      </c>
      <c r="F23" s="56">
        <v>4</v>
      </c>
      <c r="G23" s="56">
        <v>3</v>
      </c>
      <c r="H23" s="59">
        <f t="shared" si="0"/>
        <v>75</v>
      </c>
      <c r="I23" s="56">
        <v>3</v>
      </c>
      <c r="J23" s="60">
        <f t="shared" si="1"/>
        <v>100</v>
      </c>
      <c r="K23" s="56">
        <v>3</v>
      </c>
      <c r="L23" s="56">
        <v>3</v>
      </c>
      <c r="M23" s="58">
        <v>326.48</v>
      </c>
      <c r="N23" s="58">
        <v>512.22</v>
      </c>
      <c r="O23" s="58">
        <f t="shared" si="3"/>
        <v>156.89169321244793</v>
      </c>
      <c r="P23" s="58">
        <v>566.01</v>
      </c>
      <c r="Q23" s="58">
        <f t="shared" si="4"/>
        <v>110.50134707742767</v>
      </c>
      <c r="R23" s="58">
        <f t="shared" si="2"/>
        <v>509.41</v>
      </c>
      <c r="S23" s="58">
        <f t="shared" si="5"/>
        <v>509.41</v>
      </c>
    </row>
    <row r="24" spans="1:19" ht="93.75" customHeight="1">
      <c r="A24" s="19">
        <v>10</v>
      </c>
      <c r="B24" s="55" t="s">
        <v>136</v>
      </c>
      <c r="C24" s="55" t="s">
        <v>137</v>
      </c>
      <c r="D24" s="63" t="s">
        <v>117</v>
      </c>
      <c r="E24" s="62" t="s">
        <v>118</v>
      </c>
      <c r="F24" s="56">
        <v>14</v>
      </c>
      <c r="G24" s="56">
        <v>10</v>
      </c>
      <c r="H24" s="59">
        <f t="shared" si="0"/>
        <v>71.428571428571431</v>
      </c>
      <c r="I24" s="56">
        <v>10</v>
      </c>
      <c r="J24" s="60">
        <f t="shared" si="1"/>
        <v>100</v>
      </c>
      <c r="K24" s="56">
        <v>10</v>
      </c>
      <c r="L24" s="56">
        <v>10</v>
      </c>
      <c r="M24" s="58">
        <v>3192.36</v>
      </c>
      <c r="N24" s="58">
        <v>1023.63</v>
      </c>
      <c r="O24" s="58">
        <f t="shared" si="3"/>
        <v>32.064992669999619</v>
      </c>
      <c r="P24" s="58">
        <v>970.59</v>
      </c>
      <c r="Q24" s="58">
        <f t="shared" si="4"/>
        <v>94.818440256733396</v>
      </c>
      <c r="R24" s="58">
        <f t="shared" si="2"/>
        <v>873.53</v>
      </c>
      <c r="S24" s="58">
        <f t="shared" si="5"/>
        <v>873.53</v>
      </c>
    </row>
    <row r="25" spans="1:19" ht="30">
      <c r="A25" s="20">
        <v>11</v>
      </c>
      <c r="B25" s="55" t="s">
        <v>138</v>
      </c>
      <c r="C25" s="55" t="s">
        <v>139</v>
      </c>
      <c r="D25" s="63" t="s">
        <v>121</v>
      </c>
      <c r="E25" s="62" t="s">
        <v>118</v>
      </c>
      <c r="F25" s="56">
        <v>23</v>
      </c>
      <c r="G25" s="56">
        <v>25</v>
      </c>
      <c r="H25" s="59">
        <f t="shared" si="0"/>
        <v>108.69565217391303</v>
      </c>
      <c r="I25" s="56">
        <v>25</v>
      </c>
      <c r="J25" s="60">
        <f t="shared" si="1"/>
        <v>100</v>
      </c>
      <c r="K25" s="56">
        <v>25</v>
      </c>
      <c r="L25" s="56">
        <v>25</v>
      </c>
      <c r="M25" s="58">
        <v>478.5</v>
      </c>
      <c r="N25" s="58">
        <v>564.41999999999996</v>
      </c>
      <c r="O25" s="58">
        <f t="shared" si="3"/>
        <v>117.95611285266456</v>
      </c>
      <c r="P25" s="58">
        <v>584.07000000000005</v>
      </c>
      <c r="Q25" s="58">
        <f t="shared" si="4"/>
        <v>103.48144998405444</v>
      </c>
      <c r="R25" s="58">
        <f t="shared" si="2"/>
        <v>525.66</v>
      </c>
      <c r="S25" s="58">
        <f t="shared" si="5"/>
        <v>525.66</v>
      </c>
    </row>
    <row r="26" spans="1:19" ht="60">
      <c r="A26" s="20">
        <v>12</v>
      </c>
      <c r="B26" s="55" t="s">
        <v>140</v>
      </c>
      <c r="C26" s="55" t="s">
        <v>141</v>
      </c>
      <c r="D26" s="63" t="s">
        <v>121</v>
      </c>
      <c r="E26" s="62" t="s">
        <v>118</v>
      </c>
      <c r="F26" s="56">
        <v>56</v>
      </c>
      <c r="G26" s="56">
        <v>35</v>
      </c>
      <c r="H26" s="59">
        <f t="shared" si="0"/>
        <v>62.5</v>
      </c>
      <c r="I26" s="56">
        <v>35</v>
      </c>
      <c r="J26" s="60">
        <f t="shared" si="1"/>
        <v>100</v>
      </c>
      <c r="K26" s="56">
        <v>35</v>
      </c>
      <c r="L26" s="56">
        <v>35</v>
      </c>
      <c r="M26" s="58">
        <v>6094.27</v>
      </c>
      <c r="N26" s="58">
        <v>5975.87</v>
      </c>
      <c r="O26" s="58">
        <v>22.6</v>
      </c>
      <c r="P26" s="58">
        <v>6603.49</v>
      </c>
      <c r="Q26" s="58">
        <f t="shared" si="4"/>
        <v>110.50257117373705</v>
      </c>
      <c r="R26" s="58">
        <f t="shared" si="2"/>
        <v>5943.14</v>
      </c>
      <c r="S26" s="58">
        <f t="shared" si="5"/>
        <v>5943.14</v>
      </c>
    </row>
    <row r="27" spans="1:19" ht="30">
      <c r="A27" s="350">
        <v>13</v>
      </c>
      <c r="B27" s="351" t="s">
        <v>142</v>
      </c>
      <c r="C27" s="55" t="s">
        <v>143</v>
      </c>
      <c r="D27" s="63" t="s">
        <v>121</v>
      </c>
      <c r="E27" s="62" t="s">
        <v>118</v>
      </c>
      <c r="F27" s="56">
        <v>38</v>
      </c>
      <c r="G27" s="56">
        <v>40</v>
      </c>
      <c r="H27" s="59">
        <f t="shared" si="0"/>
        <v>105.26315789473684</v>
      </c>
      <c r="I27" s="56">
        <v>40</v>
      </c>
      <c r="J27" s="60">
        <f t="shared" si="1"/>
        <v>100</v>
      </c>
      <c r="K27" s="56">
        <v>40</v>
      </c>
      <c r="L27" s="56">
        <v>40</v>
      </c>
      <c r="M27" s="58">
        <v>683.58</v>
      </c>
      <c r="N27" s="58">
        <v>903.07</v>
      </c>
      <c r="O27" s="58">
        <f t="shared" si="3"/>
        <v>132.10889727610521</v>
      </c>
      <c r="P27" s="58">
        <v>934.5</v>
      </c>
      <c r="Q27" s="58">
        <f t="shared" si="4"/>
        <v>103.48035036043717</v>
      </c>
      <c r="R27" s="58">
        <f t="shared" si="2"/>
        <v>841.05</v>
      </c>
      <c r="S27" s="58">
        <f t="shared" si="5"/>
        <v>841.05</v>
      </c>
    </row>
    <row r="28" spans="1:19" ht="30">
      <c r="A28" s="350"/>
      <c r="B28" s="352"/>
      <c r="C28" s="55" t="s">
        <v>139</v>
      </c>
      <c r="D28" s="63" t="s">
        <v>121</v>
      </c>
      <c r="E28" s="62" t="s">
        <v>118</v>
      </c>
      <c r="F28" s="56">
        <v>134</v>
      </c>
      <c r="G28" s="56">
        <v>85</v>
      </c>
      <c r="H28" s="59">
        <f t="shared" si="0"/>
        <v>63.432835820895527</v>
      </c>
      <c r="I28" s="56">
        <v>85</v>
      </c>
      <c r="J28" s="60">
        <f t="shared" si="1"/>
        <v>100</v>
      </c>
      <c r="K28" s="56">
        <v>85</v>
      </c>
      <c r="L28" s="56">
        <v>85</v>
      </c>
      <c r="M28" s="58">
        <v>2289.98</v>
      </c>
      <c r="N28" s="58">
        <v>1919.02</v>
      </c>
      <c r="O28" s="58">
        <f t="shared" si="3"/>
        <v>83.800731884121262</v>
      </c>
      <c r="P28" s="58">
        <v>1985.82</v>
      </c>
      <c r="Q28" s="58">
        <f t="shared" si="4"/>
        <v>103.48094339819282</v>
      </c>
      <c r="R28" s="58">
        <f t="shared" si="2"/>
        <v>1787.24</v>
      </c>
      <c r="S28" s="58">
        <f t="shared" si="5"/>
        <v>1787.24</v>
      </c>
    </row>
    <row r="29" spans="1:19" ht="45">
      <c r="A29" s="20">
        <v>14</v>
      </c>
      <c r="B29" s="55" t="s">
        <v>144</v>
      </c>
      <c r="C29" s="55" t="s">
        <v>124</v>
      </c>
      <c r="D29" s="63" t="s">
        <v>121</v>
      </c>
      <c r="E29" s="62" t="s">
        <v>118</v>
      </c>
      <c r="F29" s="56">
        <v>9</v>
      </c>
      <c r="G29" s="56">
        <v>4</v>
      </c>
      <c r="H29" s="59">
        <f t="shared" si="0"/>
        <v>44.444444444444443</v>
      </c>
      <c r="I29" s="56">
        <v>4</v>
      </c>
      <c r="J29" s="60">
        <f t="shared" si="1"/>
        <v>100</v>
      </c>
      <c r="K29" s="56">
        <v>4</v>
      </c>
      <c r="L29" s="56">
        <v>4</v>
      </c>
      <c r="M29" s="58">
        <v>153.80000000000001</v>
      </c>
      <c r="N29" s="58">
        <v>90.3</v>
      </c>
      <c r="O29" s="58">
        <f t="shared" si="3"/>
        <v>58.712613784135236</v>
      </c>
      <c r="P29" s="58">
        <v>93.45</v>
      </c>
      <c r="Q29" s="58">
        <f t="shared" si="4"/>
        <v>103.48837209302326</v>
      </c>
      <c r="R29" s="58">
        <f t="shared" si="2"/>
        <v>84.11</v>
      </c>
      <c r="S29" s="58">
        <f t="shared" si="5"/>
        <v>84.11</v>
      </c>
    </row>
    <row r="30" spans="1:19" ht="54.75" customHeight="1">
      <c r="A30" s="20">
        <v>15</v>
      </c>
      <c r="B30" s="55" t="s">
        <v>145</v>
      </c>
      <c r="C30" s="55" t="s">
        <v>145</v>
      </c>
      <c r="D30" s="63" t="s">
        <v>146</v>
      </c>
      <c r="E30" s="62" t="s">
        <v>128</v>
      </c>
      <c r="F30" s="56">
        <v>3288</v>
      </c>
      <c r="G30" s="56">
        <v>3957</v>
      </c>
      <c r="H30" s="59">
        <f t="shared" si="0"/>
        <v>120.34671532846714</v>
      </c>
      <c r="I30" s="56">
        <v>3999</v>
      </c>
      <c r="J30" s="60">
        <f t="shared" si="1"/>
        <v>101.06141015921153</v>
      </c>
      <c r="K30" s="56">
        <v>4059</v>
      </c>
      <c r="L30" s="56">
        <v>4080</v>
      </c>
      <c r="M30" s="58">
        <v>53357.05</v>
      </c>
      <c r="N30" s="58">
        <v>58257.67</v>
      </c>
      <c r="O30" s="58">
        <f t="shared" si="3"/>
        <v>109.18457823286707</v>
      </c>
      <c r="P30" s="58">
        <v>62552.63</v>
      </c>
      <c r="Q30" s="58">
        <f t="shared" si="4"/>
        <v>107.37235114277657</v>
      </c>
      <c r="R30" s="58">
        <f t="shared" si="2"/>
        <v>56297.37</v>
      </c>
      <c r="S30" s="58">
        <f t="shared" si="5"/>
        <v>56297.37</v>
      </c>
    </row>
    <row r="31" spans="1:19" ht="51.75" customHeight="1">
      <c r="A31" s="20">
        <v>16</v>
      </c>
      <c r="B31" s="64" t="s">
        <v>147</v>
      </c>
      <c r="C31" s="64" t="s">
        <v>148</v>
      </c>
      <c r="D31" s="63" t="s">
        <v>146</v>
      </c>
      <c r="E31" s="62" t="s">
        <v>128</v>
      </c>
      <c r="F31" s="56">
        <v>45</v>
      </c>
      <c r="G31" s="56">
        <v>107</v>
      </c>
      <c r="H31" s="59">
        <f t="shared" si="0"/>
        <v>237.77777777777777</v>
      </c>
      <c r="I31" s="56">
        <v>43</v>
      </c>
      <c r="J31" s="60">
        <f t="shared" si="1"/>
        <v>40.186915887850468</v>
      </c>
      <c r="K31" s="56">
        <v>43</v>
      </c>
      <c r="L31" s="56">
        <v>43</v>
      </c>
      <c r="M31" s="58">
        <v>514.03</v>
      </c>
      <c r="N31" s="58">
        <v>2100.58</v>
      </c>
      <c r="O31" s="58">
        <f t="shared" si="3"/>
        <v>408.64930062447718</v>
      </c>
      <c r="P31" s="58">
        <v>2672.21</v>
      </c>
      <c r="Q31" s="58">
        <f t="shared" si="4"/>
        <v>127.2129602300317</v>
      </c>
      <c r="R31" s="58">
        <f t="shared" si="2"/>
        <v>2404.9899999999998</v>
      </c>
      <c r="S31" s="58">
        <f t="shared" si="5"/>
        <v>2404.9899999999998</v>
      </c>
    </row>
    <row r="32" spans="1:19" ht="50.25" customHeight="1">
      <c r="A32" s="20">
        <v>17</v>
      </c>
      <c r="B32" s="64" t="s">
        <v>149</v>
      </c>
      <c r="C32" s="64" t="s">
        <v>149</v>
      </c>
      <c r="D32" s="63" t="s">
        <v>150</v>
      </c>
      <c r="E32" s="62" t="s">
        <v>128</v>
      </c>
      <c r="F32" s="56">
        <v>20</v>
      </c>
      <c r="G32" s="56">
        <v>21</v>
      </c>
      <c r="H32" s="59">
        <f t="shared" si="0"/>
        <v>105</v>
      </c>
      <c r="I32" s="56">
        <v>21</v>
      </c>
      <c r="J32" s="60">
        <f t="shared" si="1"/>
        <v>100</v>
      </c>
      <c r="K32" s="56">
        <v>21</v>
      </c>
      <c r="L32" s="56">
        <v>21</v>
      </c>
      <c r="M32" s="58">
        <v>37.47</v>
      </c>
      <c r="N32" s="58">
        <v>42.47</v>
      </c>
      <c r="O32" s="58">
        <f t="shared" si="3"/>
        <v>113.34400854016546</v>
      </c>
      <c r="P32" s="58">
        <v>49.91</v>
      </c>
      <c r="Q32" s="58">
        <f t="shared" si="4"/>
        <v>117.51824817518248</v>
      </c>
      <c r="R32" s="58">
        <f t="shared" si="2"/>
        <v>44.92</v>
      </c>
      <c r="S32" s="58">
        <f t="shared" si="5"/>
        <v>44.92</v>
      </c>
    </row>
    <row r="33" spans="1:19" ht="52.5" customHeight="1">
      <c r="A33" s="20">
        <v>18</v>
      </c>
      <c r="B33" s="64" t="s">
        <v>151</v>
      </c>
      <c r="C33" s="64" t="s">
        <v>151</v>
      </c>
      <c r="D33" s="63" t="s">
        <v>150</v>
      </c>
      <c r="E33" s="62" t="s">
        <v>128</v>
      </c>
      <c r="F33" s="56">
        <v>28</v>
      </c>
      <c r="G33" s="56">
        <v>34</v>
      </c>
      <c r="H33" s="59">
        <f t="shared" si="0"/>
        <v>121.42857142857142</v>
      </c>
      <c r="I33" s="56">
        <v>33</v>
      </c>
      <c r="J33" s="60">
        <f>IF(G33&lt;&gt;0,I33/G33*100,"")</f>
        <v>97.058823529411768</v>
      </c>
      <c r="K33" s="56">
        <v>33</v>
      </c>
      <c r="L33" s="56">
        <v>33</v>
      </c>
      <c r="M33" s="58">
        <v>69.19</v>
      </c>
      <c r="N33" s="58">
        <v>90.42</v>
      </c>
      <c r="O33" s="58">
        <f t="shared" si="3"/>
        <v>130.68362480127186</v>
      </c>
      <c r="P33" s="58">
        <v>78.44</v>
      </c>
      <c r="Q33" s="58">
        <f t="shared" si="4"/>
        <v>86.750718867507175</v>
      </c>
      <c r="R33" s="58">
        <f t="shared" si="2"/>
        <v>70.599999999999994</v>
      </c>
      <c r="S33" s="58">
        <f t="shared" si="5"/>
        <v>70.599999999999994</v>
      </c>
    </row>
    <row r="34" spans="1:19" ht="51" customHeight="1">
      <c r="A34" s="20">
        <v>19</v>
      </c>
      <c r="B34" s="64" t="s">
        <v>152</v>
      </c>
      <c r="C34" s="64" t="s">
        <v>152</v>
      </c>
      <c r="D34" s="63" t="s">
        <v>150</v>
      </c>
      <c r="E34" s="62" t="s">
        <v>128</v>
      </c>
      <c r="F34" s="56">
        <v>21</v>
      </c>
      <c r="G34" s="56">
        <v>17</v>
      </c>
      <c r="H34" s="59">
        <f t="shared" si="0"/>
        <v>80.952380952380949</v>
      </c>
      <c r="I34" s="56">
        <v>17</v>
      </c>
      <c r="J34" s="60">
        <f t="shared" si="1"/>
        <v>100</v>
      </c>
      <c r="K34" s="56">
        <v>17</v>
      </c>
      <c r="L34" s="56">
        <v>17</v>
      </c>
      <c r="M34" s="58">
        <v>39.340000000000003</v>
      </c>
      <c r="N34" s="58">
        <v>34.380000000000003</v>
      </c>
      <c r="O34" s="58">
        <f t="shared" si="3"/>
        <v>87.391967463141839</v>
      </c>
      <c r="P34" s="58">
        <v>40.409999999999997</v>
      </c>
      <c r="Q34" s="58">
        <f t="shared" si="4"/>
        <v>117.53926701570678</v>
      </c>
      <c r="R34" s="58">
        <f t="shared" si="2"/>
        <v>36.369999999999997</v>
      </c>
      <c r="S34" s="58">
        <f t="shared" si="5"/>
        <v>36.369999999999997</v>
      </c>
    </row>
    <row r="35" spans="1:19" ht="54" customHeight="1">
      <c r="A35" s="20">
        <v>20</v>
      </c>
      <c r="B35" s="64" t="s">
        <v>153</v>
      </c>
      <c r="C35" s="64" t="s">
        <v>153</v>
      </c>
      <c r="D35" s="63" t="s">
        <v>150</v>
      </c>
      <c r="E35" s="62" t="s">
        <v>128</v>
      </c>
      <c r="F35" s="56">
        <v>46</v>
      </c>
      <c r="G35" s="56">
        <v>43</v>
      </c>
      <c r="H35" s="59">
        <f t="shared" si="0"/>
        <v>93.478260869565219</v>
      </c>
      <c r="I35" s="56">
        <v>43</v>
      </c>
      <c r="J35" s="60">
        <f t="shared" si="1"/>
        <v>100</v>
      </c>
      <c r="K35" s="56">
        <v>43</v>
      </c>
      <c r="L35" s="56">
        <v>43</v>
      </c>
      <c r="M35" s="58">
        <v>88.05</v>
      </c>
      <c r="N35" s="58">
        <v>86.95</v>
      </c>
      <c r="O35" s="58">
        <f t="shared" si="3"/>
        <v>98.75070982396366</v>
      </c>
      <c r="P35" s="58">
        <v>102.2</v>
      </c>
      <c r="Q35" s="58">
        <f t="shared" si="4"/>
        <v>117.53881541115582</v>
      </c>
      <c r="R35" s="58">
        <f t="shared" si="2"/>
        <v>91.98</v>
      </c>
      <c r="S35" s="58">
        <f t="shared" si="5"/>
        <v>91.98</v>
      </c>
    </row>
    <row r="36" spans="1:19" ht="66" customHeight="1">
      <c r="A36" s="19">
        <v>21</v>
      </c>
      <c r="B36" s="55" t="s">
        <v>154</v>
      </c>
      <c r="C36" s="55" t="s">
        <v>154</v>
      </c>
      <c r="D36" s="63" t="s">
        <v>155</v>
      </c>
      <c r="E36" s="62" t="s">
        <v>118</v>
      </c>
      <c r="F36" s="56">
        <f>17+6</f>
        <v>23</v>
      </c>
      <c r="G36" s="56">
        <v>9</v>
      </c>
      <c r="H36" s="59">
        <f t="shared" si="0"/>
        <v>39.130434782608695</v>
      </c>
      <c r="I36" s="56">
        <v>9</v>
      </c>
      <c r="J36" s="60">
        <f t="shared" si="1"/>
        <v>100</v>
      </c>
      <c r="K36" s="56">
        <v>9</v>
      </c>
      <c r="L36" s="56">
        <v>9</v>
      </c>
      <c r="M36" s="58">
        <f>3618.01+1276.94</f>
        <v>4894.9500000000007</v>
      </c>
      <c r="N36" s="58">
        <f>614.18+307.09</f>
        <v>921.27</v>
      </c>
      <c r="O36" s="58">
        <f t="shared" si="3"/>
        <v>18.820825544694017</v>
      </c>
      <c r="P36" s="58">
        <f>582.35+291.17</f>
        <v>873.52</v>
      </c>
      <c r="Q36" s="58">
        <f t="shared" si="4"/>
        <v>94.816937488467019</v>
      </c>
      <c r="R36" s="58">
        <f t="shared" si="2"/>
        <v>786.17</v>
      </c>
      <c r="S36" s="58">
        <f t="shared" si="5"/>
        <v>786.17</v>
      </c>
    </row>
    <row r="37" spans="1:19" ht="64.5" customHeight="1">
      <c r="A37" s="19">
        <v>22</v>
      </c>
      <c r="B37" s="55" t="s">
        <v>156</v>
      </c>
      <c r="C37" s="55" t="s">
        <v>157</v>
      </c>
      <c r="D37" s="63" t="s">
        <v>117</v>
      </c>
      <c r="E37" s="62" t="s">
        <v>118</v>
      </c>
      <c r="F37" s="56">
        <f>79+63+102+5</f>
        <v>249</v>
      </c>
      <c r="G37" s="56">
        <f>99+67+115+4</f>
        <v>285</v>
      </c>
      <c r="H37" s="59">
        <f t="shared" si="0"/>
        <v>114.45783132530121</v>
      </c>
      <c r="I37" s="56">
        <v>285</v>
      </c>
      <c r="J37" s="60">
        <f t="shared" si="1"/>
        <v>100</v>
      </c>
      <c r="K37" s="56">
        <v>285</v>
      </c>
      <c r="L37" s="56">
        <v>285</v>
      </c>
      <c r="M37" s="58">
        <f>1834+1559.58+2653.92+61.56</f>
        <v>6109.06</v>
      </c>
      <c r="N37" s="58">
        <f>2166.31+1938.81+2764.38+24.38</f>
        <v>6893.88</v>
      </c>
      <c r="O37" s="58">
        <f t="shared" si="3"/>
        <v>112.84682095117742</v>
      </c>
      <c r="P37" s="58">
        <f>2158.4+1986.82+2679.98+35.26</f>
        <v>6860.4600000000009</v>
      </c>
      <c r="Q37" s="58">
        <f t="shared" si="4"/>
        <v>99.515222197079154</v>
      </c>
      <c r="R37" s="58">
        <f t="shared" si="2"/>
        <v>6174.41</v>
      </c>
      <c r="S37" s="58">
        <f t="shared" si="5"/>
        <v>6174.41</v>
      </c>
    </row>
    <row r="38" spans="1:19" ht="154.5" customHeight="1">
      <c r="A38" s="19">
        <v>23</v>
      </c>
      <c r="B38" s="55" t="s">
        <v>158</v>
      </c>
      <c r="C38" s="55" t="s">
        <v>159</v>
      </c>
      <c r="D38" s="63" t="s">
        <v>160</v>
      </c>
      <c r="E38" s="62" t="s">
        <v>128</v>
      </c>
      <c r="F38" s="56">
        <v>60</v>
      </c>
      <c r="G38" s="56">
        <v>60</v>
      </c>
      <c r="H38" s="59">
        <f t="shared" si="0"/>
        <v>100</v>
      </c>
      <c r="I38" s="56">
        <v>60</v>
      </c>
      <c r="J38" s="60">
        <f t="shared" si="1"/>
        <v>100</v>
      </c>
      <c r="K38" s="56">
        <v>75</v>
      </c>
      <c r="L38" s="56">
        <v>75</v>
      </c>
      <c r="M38" s="58">
        <v>8642.11</v>
      </c>
      <c r="N38" s="58">
        <v>12352.98</v>
      </c>
      <c r="O38" s="58">
        <f t="shared" si="3"/>
        <v>142.93939790166982</v>
      </c>
      <c r="P38" s="58">
        <v>14136.03</v>
      </c>
      <c r="Q38" s="58">
        <f t="shared" si="4"/>
        <v>114.43416892118341</v>
      </c>
      <c r="R38" s="58">
        <f t="shared" si="2"/>
        <v>12722.43</v>
      </c>
      <c r="S38" s="58">
        <f t="shared" si="5"/>
        <v>12722.43</v>
      </c>
    </row>
    <row r="39" spans="1:19" ht="30.75" customHeight="1">
      <c r="A39" s="19">
        <v>24</v>
      </c>
      <c r="B39" s="55" t="s">
        <v>161</v>
      </c>
      <c r="C39" s="55" t="s">
        <v>162</v>
      </c>
      <c r="D39" s="63" t="s">
        <v>160</v>
      </c>
      <c r="E39" s="62" t="s">
        <v>128</v>
      </c>
      <c r="F39" s="56">
        <v>70</v>
      </c>
      <c r="G39" s="56">
        <v>70</v>
      </c>
      <c r="H39" s="59">
        <f t="shared" si="0"/>
        <v>100</v>
      </c>
      <c r="I39" s="56">
        <v>70</v>
      </c>
      <c r="J39" s="60">
        <f t="shared" si="1"/>
        <v>100</v>
      </c>
      <c r="K39" s="56">
        <v>85</v>
      </c>
      <c r="L39" s="56">
        <v>85</v>
      </c>
      <c r="M39" s="58">
        <v>10082.459999999999</v>
      </c>
      <c r="N39" s="58">
        <v>14411.81</v>
      </c>
      <c r="O39" s="58">
        <f t="shared" si="3"/>
        <v>142.93942153006313</v>
      </c>
      <c r="P39" s="58">
        <v>16492.03</v>
      </c>
      <c r="Q39" s="58">
        <f t="shared" si="4"/>
        <v>114.43413422741486</v>
      </c>
      <c r="R39" s="58">
        <f t="shared" si="2"/>
        <v>14842.83</v>
      </c>
      <c r="S39" s="58">
        <f t="shared" si="5"/>
        <v>14842.83</v>
      </c>
    </row>
    <row r="40" spans="1:19" ht="63.75" customHeight="1">
      <c r="A40" s="286">
        <v>25</v>
      </c>
      <c r="B40" s="283" t="s">
        <v>163</v>
      </c>
      <c r="C40" s="55" t="s">
        <v>164</v>
      </c>
      <c r="D40" s="63" t="s">
        <v>165</v>
      </c>
      <c r="E40" s="62" t="s">
        <v>38</v>
      </c>
      <c r="F40" s="56">
        <v>553</v>
      </c>
      <c r="G40" s="56">
        <v>500</v>
      </c>
      <c r="H40" s="59">
        <f t="shared" si="0"/>
        <v>90.415913200723324</v>
      </c>
      <c r="I40" s="56">
        <v>510</v>
      </c>
      <c r="J40" s="60">
        <f t="shared" si="1"/>
        <v>102</v>
      </c>
      <c r="K40" s="56">
        <v>520</v>
      </c>
      <c r="L40" s="56">
        <v>530</v>
      </c>
      <c r="M40" s="58">
        <v>824.93</v>
      </c>
      <c r="N40" s="58">
        <v>883.33</v>
      </c>
      <c r="O40" s="58">
        <f t="shared" si="3"/>
        <v>107.07938855418038</v>
      </c>
      <c r="P40" s="58">
        <v>1126.33</v>
      </c>
      <c r="Q40" s="58">
        <f t="shared" si="4"/>
        <v>127.50953777184064</v>
      </c>
      <c r="R40" s="58">
        <f t="shared" si="2"/>
        <v>1013.7</v>
      </c>
      <c r="S40" s="58">
        <f t="shared" si="5"/>
        <v>1013.7</v>
      </c>
    </row>
    <row r="41" spans="1:19" ht="51.75" customHeight="1">
      <c r="A41" s="286"/>
      <c r="B41" s="283"/>
      <c r="C41" s="55" t="s">
        <v>166</v>
      </c>
      <c r="D41" s="63" t="s">
        <v>167</v>
      </c>
      <c r="E41" s="62" t="s">
        <v>128</v>
      </c>
      <c r="F41" s="56">
        <v>5035</v>
      </c>
      <c r="G41" s="56">
        <v>4450</v>
      </c>
      <c r="H41" s="59">
        <f t="shared" si="0"/>
        <v>88.381330685203579</v>
      </c>
      <c r="I41" s="56">
        <v>4500</v>
      </c>
      <c r="J41" s="60">
        <f t="shared" si="1"/>
        <v>101.12359550561798</v>
      </c>
      <c r="K41" s="56">
        <v>4550</v>
      </c>
      <c r="L41" s="56">
        <v>4600</v>
      </c>
      <c r="M41" s="58">
        <v>7341.85</v>
      </c>
      <c r="N41" s="58">
        <v>7861.62</v>
      </c>
      <c r="O41" s="58">
        <f t="shared" si="3"/>
        <v>107.07955079441828</v>
      </c>
      <c r="P41" s="58">
        <v>10024.33</v>
      </c>
      <c r="Q41" s="58">
        <f t="shared" si="4"/>
        <v>127.50972445882655</v>
      </c>
      <c r="R41" s="58">
        <f t="shared" si="2"/>
        <v>9021.9</v>
      </c>
      <c r="S41" s="58">
        <f t="shared" si="5"/>
        <v>9021.9</v>
      </c>
    </row>
    <row r="42" spans="1:19" ht="130.5" customHeight="1">
      <c r="A42" s="19">
        <v>26</v>
      </c>
      <c r="B42" s="55" t="s">
        <v>168</v>
      </c>
      <c r="C42" s="55" t="s">
        <v>169</v>
      </c>
      <c r="D42" s="63" t="s">
        <v>170</v>
      </c>
      <c r="E42" s="62" t="s">
        <v>171</v>
      </c>
      <c r="F42" s="56">
        <v>4647</v>
      </c>
      <c r="G42" s="56">
        <v>5000</v>
      </c>
      <c r="H42" s="59">
        <f t="shared" si="0"/>
        <v>107.59629868732516</v>
      </c>
      <c r="I42" s="56">
        <v>5000</v>
      </c>
      <c r="J42" s="60">
        <f t="shared" si="1"/>
        <v>100</v>
      </c>
      <c r="K42" s="56">
        <v>5000</v>
      </c>
      <c r="L42" s="56">
        <v>5000</v>
      </c>
      <c r="M42" s="58">
        <v>8249.27</v>
      </c>
      <c r="N42" s="58">
        <v>8833.2900000000009</v>
      </c>
      <c r="O42" s="58">
        <f t="shared" si="3"/>
        <v>107.07965674538475</v>
      </c>
      <c r="P42" s="58">
        <v>11263.29</v>
      </c>
      <c r="Q42" s="58">
        <f t="shared" si="4"/>
        <v>127.50956891486638</v>
      </c>
      <c r="R42" s="58">
        <f t="shared" si="2"/>
        <v>10136.959999999999</v>
      </c>
      <c r="S42" s="58">
        <f t="shared" si="5"/>
        <v>10136.959999999999</v>
      </c>
    </row>
    <row r="43" spans="1:19" ht="31.5" customHeight="1">
      <c r="A43" s="19">
        <v>27</v>
      </c>
      <c r="B43" s="55" t="s">
        <v>172</v>
      </c>
      <c r="C43" s="55" t="s">
        <v>172</v>
      </c>
      <c r="D43" s="63" t="s">
        <v>173</v>
      </c>
      <c r="E43" s="62" t="s">
        <v>128</v>
      </c>
      <c r="F43" s="56">
        <v>127</v>
      </c>
      <c r="G43" s="56">
        <v>148</v>
      </c>
      <c r="H43" s="59">
        <f t="shared" si="0"/>
        <v>116.53543307086613</v>
      </c>
      <c r="I43" s="56">
        <v>148</v>
      </c>
      <c r="J43" s="60">
        <f t="shared" si="1"/>
        <v>100</v>
      </c>
      <c r="K43" s="56">
        <v>148</v>
      </c>
      <c r="L43" s="56">
        <v>148</v>
      </c>
      <c r="M43" s="58">
        <v>328.56</v>
      </c>
      <c r="N43" s="58">
        <v>328.56</v>
      </c>
      <c r="O43" s="58">
        <f t="shared" si="3"/>
        <v>100</v>
      </c>
      <c r="P43" s="58">
        <v>328.56</v>
      </c>
      <c r="Q43" s="58">
        <f t="shared" si="4"/>
        <v>100</v>
      </c>
      <c r="R43" s="58">
        <f t="shared" si="2"/>
        <v>295.7</v>
      </c>
      <c r="S43" s="58">
        <f t="shared" si="5"/>
        <v>295.7</v>
      </c>
    </row>
    <row r="44" spans="1:19" ht="113.25" customHeight="1">
      <c r="A44" s="19">
        <v>28</v>
      </c>
      <c r="B44" s="55" t="s">
        <v>174</v>
      </c>
      <c r="C44" s="55" t="s">
        <v>174</v>
      </c>
      <c r="D44" s="63" t="s">
        <v>175</v>
      </c>
      <c r="E44" s="62" t="s">
        <v>171</v>
      </c>
      <c r="F44" s="56">
        <v>18</v>
      </c>
      <c r="G44" s="56">
        <v>17</v>
      </c>
      <c r="H44" s="59">
        <f t="shared" si="0"/>
        <v>94.444444444444443</v>
      </c>
      <c r="I44" s="56">
        <v>17</v>
      </c>
      <c r="J44" s="60">
        <f t="shared" si="1"/>
        <v>100</v>
      </c>
      <c r="K44" s="56">
        <v>17</v>
      </c>
      <c r="L44" s="56">
        <v>20</v>
      </c>
      <c r="M44" s="58">
        <v>1345.98</v>
      </c>
      <c r="N44" s="58">
        <v>1757.41</v>
      </c>
      <c r="O44" s="58">
        <f t="shared" si="3"/>
        <v>130.56731897947964</v>
      </c>
      <c r="P44" s="58">
        <v>1832.65</v>
      </c>
      <c r="Q44" s="58">
        <f t="shared" si="4"/>
        <v>104.28130032263387</v>
      </c>
      <c r="R44" s="58">
        <f t="shared" si="2"/>
        <v>1649.39</v>
      </c>
      <c r="S44" s="58">
        <f t="shared" si="5"/>
        <v>1649.39</v>
      </c>
    </row>
    <row r="45" spans="1:19" ht="36.75" customHeight="1">
      <c r="A45" s="19">
        <v>29</v>
      </c>
      <c r="B45" s="55" t="s">
        <v>176</v>
      </c>
      <c r="C45" s="55" t="s">
        <v>176</v>
      </c>
      <c r="D45" s="63" t="s">
        <v>175</v>
      </c>
      <c r="E45" s="62" t="s">
        <v>171</v>
      </c>
      <c r="F45" s="56">
        <v>18</v>
      </c>
      <c r="G45" s="56">
        <v>15</v>
      </c>
      <c r="H45" s="59">
        <f t="shared" si="0"/>
        <v>83.333333333333343</v>
      </c>
      <c r="I45" s="56">
        <v>15</v>
      </c>
      <c r="J45" s="60">
        <f t="shared" si="1"/>
        <v>100</v>
      </c>
      <c r="K45" s="56">
        <v>15</v>
      </c>
      <c r="L45" s="56">
        <v>16</v>
      </c>
      <c r="M45" s="58">
        <v>1345.99</v>
      </c>
      <c r="N45" s="58">
        <v>1550.66</v>
      </c>
      <c r="O45" s="58">
        <f t="shared" si="3"/>
        <v>115.20590791907817</v>
      </c>
      <c r="P45" s="58">
        <v>1617.05</v>
      </c>
      <c r="Q45" s="58">
        <f t="shared" si="4"/>
        <v>104.2814027575355</v>
      </c>
      <c r="R45" s="58">
        <f t="shared" si="2"/>
        <v>1455.35</v>
      </c>
      <c r="S45" s="58">
        <f t="shared" si="5"/>
        <v>1455.35</v>
      </c>
    </row>
    <row r="46" spans="1:19" ht="157.5" customHeight="1">
      <c r="A46" s="19">
        <v>30</v>
      </c>
      <c r="B46" s="55" t="s">
        <v>177</v>
      </c>
      <c r="C46" s="55" t="s">
        <v>177</v>
      </c>
      <c r="D46" s="63" t="s">
        <v>175</v>
      </c>
      <c r="E46" s="62" t="s">
        <v>171</v>
      </c>
      <c r="F46" s="56">
        <v>36</v>
      </c>
      <c r="G46" s="56">
        <v>30</v>
      </c>
      <c r="H46" s="59">
        <f t="shared" si="0"/>
        <v>83.333333333333343</v>
      </c>
      <c r="I46" s="56">
        <v>30</v>
      </c>
      <c r="J46" s="60">
        <f t="shared" si="1"/>
        <v>100</v>
      </c>
      <c r="K46" s="56">
        <v>30</v>
      </c>
      <c r="L46" s="56">
        <v>32</v>
      </c>
      <c r="M46" s="58">
        <v>2691.97</v>
      </c>
      <c r="N46" s="58">
        <v>3101.32</v>
      </c>
      <c r="O46" s="58">
        <f t="shared" si="3"/>
        <v>115.20633588041474</v>
      </c>
      <c r="P46" s="58">
        <v>3234.09</v>
      </c>
      <c r="Q46" s="58">
        <f t="shared" si="4"/>
        <v>104.28108031418878</v>
      </c>
      <c r="R46" s="58">
        <f t="shared" si="2"/>
        <v>2910.68</v>
      </c>
      <c r="S46" s="58">
        <f t="shared" si="5"/>
        <v>2910.68</v>
      </c>
    </row>
    <row r="47" spans="1:19" ht="150" customHeight="1">
      <c r="A47" s="19">
        <v>31</v>
      </c>
      <c r="B47" s="55" t="s">
        <v>178</v>
      </c>
      <c r="C47" s="55" t="s">
        <v>178</v>
      </c>
      <c r="D47" s="63" t="s">
        <v>175</v>
      </c>
      <c r="E47" s="62" t="s">
        <v>171</v>
      </c>
      <c r="F47" s="56">
        <v>96</v>
      </c>
      <c r="G47" s="56">
        <v>82</v>
      </c>
      <c r="H47" s="59">
        <f t="shared" si="0"/>
        <v>85.416666666666657</v>
      </c>
      <c r="I47" s="56">
        <v>82</v>
      </c>
      <c r="J47" s="60">
        <f t="shared" si="1"/>
        <v>100</v>
      </c>
      <c r="K47" s="56">
        <v>82</v>
      </c>
      <c r="L47" s="56">
        <v>82</v>
      </c>
      <c r="M47" s="58">
        <v>7178.58</v>
      </c>
      <c r="N47" s="58">
        <v>8476.93</v>
      </c>
      <c r="O47" s="58">
        <f t="shared" si="3"/>
        <v>118.08644606593506</v>
      </c>
      <c r="P47" s="58">
        <v>8839.86</v>
      </c>
      <c r="Q47" s="58">
        <f t="shared" si="4"/>
        <v>104.28138488816117</v>
      </c>
      <c r="R47" s="58">
        <f t="shared" si="2"/>
        <v>7955.87</v>
      </c>
      <c r="S47" s="58">
        <f t="shared" si="5"/>
        <v>7955.87</v>
      </c>
    </row>
    <row r="48" spans="1:19" ht="141" customHeight="1">
      <c r="A48" s="19">
        <v>32</v>
      </c>
      <c r="B48" s="64" t="s">
        <v>179</v>
      </c>
      <c r="C48" s="64" t="s">
        <v>179</v>
      </c>
      <c r="D48" s="63" t="s">
        <v>175</v>
      </c>
      <c r="E48" s="62" t="s">
        <v>171</v>
      </c>
      <c r="F48" s="56">
        <v>124</v>
      </c>
      <c r="G48" s="56">
        <v>120</v>
      </c>
      <c r="H48" s="59">
        <f t="shared" si="0"/>
        <v>96.774193548387103</v>
      </c>
      <c r="I48" s="56">
        <v>120</v>
      </c>
      <c r="J48" s="60">
        <f t="shared" si="1"/>
        <v>100</v>
      </c>
      <c r="K48" s="56">
        <v>120</v>
      </c>
      <c r="L48" s="56">
        <v>120</v>
      </c>
      <c r="M48" s="58">
        <v>38157.879999999997</v>
      </c>
      <c r="N48" s="58">
        <v>42037.78</v>
      </c>
      <c r="O48" s="58">
        <f t="shared" si="3"/>
        <v>110.16801772006201</v>
      </c>
      <c r="P48" s="58">
        <v>43173.75</v>
      </c>
      <c r="Q48" s="58">
        <f t="shared" si="4"/>
        <v>102.70225972922454</v>
      </c>
      <c r="R48" s="58">
        <f t="shared" si="2"/>
        <v>38856.379999999997</v>
      </c>
      <c r="S48" s="58">
        <f t="shared" si="5"/>
        <v>38856.379999999997</v>
      </c>
    </row>
    <row r="49" spans="1:19" ht="22.5" customHeight="1">
      <c r="A49" s="340" t="s">
        <v>263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2"/>
      <c r="M49" s="65">
        <f>SUM(M11:M48)</f>
        <v>454265.95999999996</v>
      </c>
      <c r="N49" s="65">
        <f>SUM(N11:N48)</f>
        <v>526901.17999999993</v>
      </c>
      <c r="O49" s="65">
        <f t="shared" si="3"/>
        <v>115.98958020099062</v>
      </c>
      <c r="P49" s="66">
        <f>SUM(P11:P48)</f>
        <v>576630.90000000014</v>
      </c>
      <c r="Q49" s="66">
        <f t="shared" si="4"/>
        <v>109.43814929395303</v>
      </c>
      <c r="R49" s="66">
        <f>SUM(R11:R48)</f>
        <v>518967.84999999986</v>
      </c>
      <c r="S49" s="66">
        <f>SUM(S11:S48)</f>
        <v>518967.84999999986</v>
      </c>
    </row>
    <row r="108" spans="12:19" ht="19.5" customHeight="1">
      <c r="L108" s="21"/>
      <c r="M108" s="21"/>
      <c r="N108" s="21"/>
      <c r="O108" s="21"/>
      <c r="P108" s="21"/>
      <c r="Q108" s="21"/>
      <c r="R108" s="21"/>
      <c r="S108" s="21"/>
    </row>
    <row r="109" spans="12:19" ht="12" customHeight="1"/>
    <row r="110" spans="12:19" ht="51" customHeight="1"/>
    <row r="111" spans="12:19" ht="18" customHeight="1"/>
  </sheetData>
  <mergeCells count="38">
    <mergeCell ref="S13:S14"/>
    <mergeCell ref="A17:A19"/>
    <mergeCell ref="B17:B19"/>
    <mergeCell ref="A27:A28"/>
    <mergeCell ref="B27:B28"/>
    <mergeCell ref="O13:O14"/>
    <mergeCell ref="P13:P14"/>
    <mergeCell ref="Q13:Q14"/>
    <mergeCell ref="R13:R14"/>
    <mergeCell ref="M13:M14"/>
    <mergeCell ref="N13:N14"/>
    <mergeCell ref="A49:L49"/>
    <mergeCell ref="A40:A41"/>
    <mergeCell ref="B40:B41"/>
    <mergeCell ref="A13:A14"/>
    <mergeCell ref="B13:B14"/>
    <mergeCell ref="C13:C14"/>
    <mergeCell ref="A10:S10"/>
    <mergeCell ref="A11:A12"/>
    <mergeCell ref="B11:B12"/>
    <mergeCell ref="C11:C12"/>
    <mergeCell ref="M11:M12"/>
    <mergeCell ref="N11:N12"/>
    <mergeCell ref="O11:O12"/>
    <mergeCell ref="P11:P12"/>
    <mergeCell ref="Q11:Q12"/>
    <mergeCell ref="R11:R12"/>
    <mergeCell ref="S11:S12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51" fitToHeight="5" orientation="landscape" r:id="rId1"/>
  <headerFooter differentFirst="1">
    <oddHeader>&amp;R&amp;P</oddHeader>
  </headerFooter>
  <rowBreaks count="1" manualBreakCount="1">
    <brk id="32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90" zoomScaleNormal="90" workbookViewId="0">
      <selection activeCell="P16" sqref="P16"/>
    </sheetView>
  </sheetViews>
  <sheetFormatPr defaultRowHeight="15"/>
  <cols>
    <col min="1" max="1" width="5.7109375" customWidth="1"/>
    <col min="2" max="2" width="29" customWidth="1"/>
    <col min="3" max="3" width="50.85546875" customWidth="1"/>
    <col min="4" max="4" width="19.5703125" customWidth="1"/>
    <col min="5" max="5" width="10.42578125" customWidth="1"/>
    <col min="6" max="6" width="11.2851562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9.42578125" customWidth="1"/>
    <col min="16" max="16" width="12.140625" customWidth="1"/>
    <col min="17" max="17" width="10" customWidth="1"/>
    <col min="18" max="18" width="11.85546875" customWidth="1"/>
    <col min="19" max="19" width="12.5703125" customWidth="1"/>
  </cols>
  <sheetData>
    <row r="1" spans="1:21" ht="9" customHeight="1"/>
    <row r="2" spans="1:21" ht="21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8" customHeight="1">
      <c r="A4" s="27" t="s">
        <v>330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1.25" customHeight="1"/>
    <row r="6" spans="1:21" ht="42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21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  <c r="T7" s="2"/>
      <c r="U7" s="2"/>
    </row>
    <row r="8" spans="1:21" ht="78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8" t="s">
        <v>14</v>
      </c>
      <c r="J8" s="51" t="s">
        <v>15</v>
      </c>
      <c r="K8" s="48" t="s">
        <v>16</v>
      </c>
      <c r="L8" s="48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  <c r="T8" s="2"/>
      <c r="U8" s="2"/>
    </row>
    <row r="9" spans="1:21" ht="15.75" customHeight="1">
      <c r="A9" s="52">
        <v>1</v>
      </c>
      <c r="B9" s="53" t="s">
        <v>18</v>
      </c>
      <c r="C9" s="53" t="s">
        <v>19</v>
      </c>
      <c r="D9" s="53" t="s">
        <v>20</v>
      </c>
      <c r="E9" s="53" t="s">
        <v>21</v>
      </c>
      <c r="F9" s="53" t="s">
        <v>22</v>
      </c>
      <c r="G9" s="53" t="s">
        <v>23</v>
      </c>
      <c r="H9" s="53" t="s">
        <v>24</v>
      </c>
      <c r="I9" s="53" t="s">
        <v>25</v>
      </c>
      <c r="J9" s="53" t="s">
        <v>26</v>
      </c>
      <c r="K9" s="53" t="s">
        <v>27</v>
      </c>
      <c r="L9" s="53" t="s">
        <v>28</v>
      </c>
      <c r="M9" s="53" t="s">
        <v>29</v>
      </c>
      <c r="N9" s="53" t="s">
        <v>30</v>
      </c>
      <c r="O9" s="53" t="s">
        <v>31</v>
      </c>
      <c r="P9" s="53" t="s">
        <v>32</v>
      </c>
      <c r="Q9" s="53" t="s">
        <v>33</v>
      </c>
      <c r="R9" s="53" t="s">
        <v>34</v>
      </c>
      <c r="S9" s="53" t="s">
        <v>35</v>
      </c>
      <c r="T9" s="2"/>
      <c r="U9" s="2"/>
    </row>
    <row r="10" spans="1:21" ht="54.75" customHeight="1">
      <c r="A10" s="286">
        <v>1</v>
      </c>
      <c r="B10" s="283" t="s">
        <v>327</v>
      </c>
      <c r="C10" s="101" t="s">
        <v>331</v>
      </c>
      <c r="D10" s="101" t="s">
        <v>328</v>
      </c>
      <c r="E10" s="19" t="s">
        <v>329</v>
      </c>
      <c r="F10" s="56">
        <v>286078</v>
      </c>
      <c r="G10" s="56">
        <f>297185+10460</f>
        <v>307645</v>
      </c>
      <c r="H10" s="100">
        <f>G10/F10*100</f>
        <v>107.53885304007997</v>
      </c>
      <c r="I10" s="56">
        <f>G10</f>
        <v>307645</v>
      </c>
      <c r="J10" s="56">
        <f>I10/G10*100</f>
        <v>100</v>
      </c>
      <c r="K10" s="56">
        <f>I10</f>
        <v>307645</v>
      </c>
      <c r="L10" s="56">
        <f>K10</f>
        <v>307645</v>
      </c>
      <c r="M10" s="294">
        <v>125423.9</v>
      </c>
      <c r="N10" s="294">
        <v>148315.4</v>
      </c>
      <c r="O10" s="294">
        <f>N10/M10*100</f>
        <v>118.25130617051455</v>
      </c>
      <c r="P10" s="294">
        <v>151977.60000000001</v>
      </c>
      <c r="Q10" s="294">
        <f>P10/N10*100</f>
        <v>102.46919739959573</v>
      </c>
      <c r="R10" s="294">
        <v>136779.84</v>
      </c>
      <c r="S10" s="294">
        <f>R10</f>
        <v>136779.84</v>
      </c>
    </row>
    <row r="11" spans="1:21" ht="56.25" customHeight="1">
      <c r="A11" s="286"/>
      <c r="B11" s="283"/>
      <c r="C11" s="101" t="s">
        <v>332</v>
      </c>
      <c r="D11" s="101" t="s">
        <v>328</v>
      </c>
      <c r="E11" s="19" t="s">
        <v>329</v>
      </c>
      <c r="F11" s="56">
        <v>130692</v>
      </c>
      <c r="G11" s="56">
        <v>115802</v>
      </c>
      <c r="H11" s="100">
        <f>G11/F11*100</f>
        <v>88.606800722308947</v>
      </c>
      <c r="I11" s="56">
        <f>G11</f>
        <v>115802</v>
      </c>
      <c r="J11" s="56">
        <f>I11/G11*100</f>
        <v>100</v>
      </c>
      <c r="K11" s="56">
        <f>I11</f>
        <v>115802</v>
      </c>
      <c r="L11" s="56">
        <f>K11</f>
        <v>115802</v>
      </c>
      <c r="M11" s="294"/>
      <c r="N11" s="294"/>
      <c r="O11" s="294"/>
      <c r="P11" s="294"/>
      <c r="Q11" s="294"/>
      <c r="R11" s="294"/>
      <c r="S11" s="294"/>
    </row>
    <row r="12" spans="1:21" ht="78" customHeight="1">
      <c r="A12" s="353">
        <v>2</v>
      </c>
      <c r="B12" s="343" t="s">
        <v>333</v>
      </c>
      <c r="C12" s="99" t="s">
        <v>334</v>
      </c>
      <c r="D12" s="101" t="s">
        <v>338</v>
      </c>
      <c r="E12" s="101" t="s">
        <v>214</v>
      </c>
      <c r="F12" s="56">
        <v>1</v>
      </c>
      <c r="G12" s="56">
        <v>1</v>
      </c>
      <c r="H12" s="56">
        <v>100</v>
      </c>
      <c r="I12" s="56">
        <v>1</v>
      </c>
      <c r="J12" s="56">
        <v>100</v>
      </c>
      <c r="K12" s="56">
        <v>1</v>
      </c>
      <c r="L12" s="56">
        <v>1</v>
      </c>
      <c r="M12" s="58">
        <v>124</v>
      </c>
      <c r="N12" s="58">
        <v>1470.7</v>
      </c>
      <c r="O12" s="58">
        <f>N12/M12*100</f>
        <v>1186.0483870967744</v>
      </c>
      <c r="P12" s="58">
        <v>309.2</v>
      </c>
      <c r="Q12" s="58">
        <f>P12/N12*100</f>
        <v>21.024002175834635</v>
      </c>
      <c r="R12" s="58">
        <v>273.83999999999997</v>
      </c>
      <c r="S12" s="58">
        <v>273.83999999999997</v>
      </c>
    </row>
    <row r="13" spans="1:21" ht="108.75" customHeight="1">
      <c r="A13" s="354"/>
      <c r="B13" s="355"/>
      <c r="C13" s="99" t="s">
        <v>335</v>
      </c>
      <c r="D13" s="101" t="s">
        <v>338</v>
      </c>
      <c r="E13" s="101" t="s">
        <v>214</v>
      </c>
      <c r="F13" s="56">
        <v>4</v>
      </c>
      <c r="G13" s="56">
        <v>4</v>
      </c>
      <c r="H13" s="56">
        <v>100</v>
      </c>
      <c r="I13" s="56">
        <v>4</v>
      </c>
      <c r="J13" s="56">
        <v>100</v>
      </c>
      <c r="K13" s="56">
        <v>4</v>
      </c>
      <c r="L13" s="56">
        <v>4</v>
      </c>
      <c r="M13" s="58">
        <v>157</v>
      </c>
      <c r="N13" s="58">
        <v>201.1</v>
      </c>
      <c r="O13" s="58">
        <f t="shared" ref="O13:O16" si="0">N13/M13*100</f>
        <v>128.08917197452229</v>
      </c>
      <c r="P13" s="58">
        <v>212.3</v>
      </c>
      <c r="Q13" s="58">
        <f t="shared" ref="Q13:Q16" si="1">P13/N13*100</f>
        <v>105.56936847339632</v>
      </c>
      <c r="R13" s="58">
        <v>191.1</v>
      </c>
      <c r="S13" s="58">
        <v>191.1</v>
      </c>
    </row>
    <row r="14" spans="1:21" ht="66.75" customHeight="1">
      <c r="A14" s="354"/>
      <c r="B14" s="355"/>
      <c r="C14" s="101" t="s">
        <v>336</v>
      </c>
      <c r="D14" s="101" t="s">
        <v>338</v>
      </c>
      <c r="E14" s="101" t="s">
        <v>214</v>
      </c>
      <c r="F14" s="56">
        <v>130</v>
      </c>
      <c r="G14" s="56">
        <v>130</v>
      </c>
      <c r="H14" s="56">
        <v>100</v>
      </c>
      <c r="I14" s="56">
        <v>130</v>
      </c>
      <c r="J14" s="56">
        <v>100</v>
      </c>
      <c r="K14" s="56">
        <v>130</v>
      </c>
      <c r="L14" s="56">
        <v>130</v>
      </c>
      <c r="M14" s="58">
        <v>4997</v>
      </c>
      <c r="N14" s="58">
        <v>7439.6</v>
      </c>
      <c r="O14" s="58">
        <f t="shared" si="0"/>
        <v>148.88132879727837</v>
      </c>
      <c r="P14" s="58">
        <v>7729.6</v>
      </c>
      <c r="Q14" s="58">
        <f t="shared" si="1"/>
        <v>103.89805903543201</v>
      </c>
      <c r="R14" s="58">
        <v>6956.6</v>
      </c>
      <c r="S14" s="58">
        <v>6956.6</v>
      </c>
    </row>
    <row r="15" spans="1:21" ht="63.75" customHeight="1">
      <c r="A15" s="354"/>
      <c r="B15" s="355"/>
      <c r="C15" s="102" t="s">
        <v>337</v>
      </c>
      <c r="D15" s="102" t="s">
        <v>338</v>
      </c>
      <c r="E15" s="102" t="s">
        <v>214</v>
      </c>
      <c r="F15" s="103">
        <v>9</v>
      </c>
      <c r="G15" s="103">
        <v>9</v>
      </c>
      <c r="H15" s="103">
        <v>90</v>
      </c>
      <c r="I15" s="103">
        <v>9</v>
      </c>
      <c r="J15" s="103">
        <v>100</v>
      </c>
      <c r="K15" s="103">
        <v>9</v>
      </c>
      <c r="L15" s="103">
        <v>9</v>
      </c>
      <c r="M15" s="104">
        <v>1978</v>
      </c>
      <c r="N15" s="104">
        <v>1210.5</v>
      </c>
      <c r="O15" s="104">
        <f t="shared" si="0"/>
        <v>61.198179979777557</v>
      </c>
      <c r="P15" s="104">
        <v>1068</v>
      </c>
      <c r="Q15" s="104">
        <f t="shared" si="1"/>
        <v>88.228004956629491</v>
      </c>
      <c r="R15" s="104">
        <v>961.2</v>
      </c>
      <c r="S15" s="104">
        <v>961.2</v>
      </c>
    </row>
    <row r="16" spans="1:21" ht="20.25" customHeight="1">
      <c r="A16" s="291" t="s">
        <v>263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3"/>
      <c r="M16" s="105">
        <f>SUM(M10:M15)</f>
        <v>132679.9</v>
      </c>
      <c r="N16" s="105">
        <f>SUM(N10:N15)</f>
        <v>158637.30000000002</v>
      </c>
      <c r="O16" s="105">
        <f t="shared" si="0"/>
        <v>119.56392791975274</v>
      </c>
      <c r="P16" s="105">
        <f t="shared" ref="P16:S16" si="2">SUM(P10:P15)</f>
        <v>161296.70000000001</v>
      </c>
      <c r="Q16" s="105">
        <f t="shared" si="1"/>
        <v>101.67640271235075</v>
      </c>
      <c r="R16" s="105">
        <f t="shared" si="2"/>
        <v>145162.58000000002</v>
      </c>
      <c r="S16" s="105">
        <f t="shared" si="2"/>
        <v>145162.58000000002</v>
      </c>
    </row>
  </sheetData>
  <mergeCells count="22">
    <mergeCell ref="A12:A15"/>
    <mergeCell ref="B12:B15"/>
    <mergeCell ref="A16:L16"/>
    <mergeCell ref="S10:S11"/>
    <mergeCell ref="A10:A11"/>
    <mergeCell ref="B10:B11"/>
    <mergeCell ref="M10:M11"/>
    <mergeCell ref="N10:N11"/>
    <mergeCell ref="O10:O11"/>
    <mergeCell ref="P10:P11"/>
    <mergeCell ref="Q10:Q11"/>
    <mergeCell ref="R10:R11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pageMargins left="0.11811023622047245" right="0.11811023622047245" top="0.55118110236220474" bottom="0.55118110236220474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5"/>
  <sheetViews>
    <sheetView zoomScale="90" zoomScaleNormal="90" workbookViewId="0">
      <pane ySplit="8" topLeftCell="A72" activePane="bottomLeft" state="frozen"/>
      <selection pane="bottomLeft" activeCell="P80" sqref="P80"/>
    </sheetView>
  </sheetViews>
  <sheetFormatPr defaultRowHeight="15"/>
  <cols>
    <col min="1" max="1" width="5.7109375" customWidth="1"/>
    <col min="2" max="2" width="37.5703125" customWidth="1"/>
    <col min="3" max="3" width="17.85546875" customWidth="1"/>
    <col min="4" max="4" width="21.5703125" customWidth="1"/>
    <col min="5" max="5" width="14.7109375" customWidth="1"/>
    <col min="6" max="6" width="11.28515625" customWidth="1"/>
    <col min="7" max="7" width="13" customWidth="1"/>
    <col min="8" max="8" width="9.5703125" customWidth="1"/>
    <col min="9" max="9" width="10.85546875" style="22" customWidth="1"/>
    <col min="10" max="10" width="9.42578125" style="22" customWidth="1"/>
    <col min="11" max="11" width="12.140625" style="22" customWidth="1"/>
    <col min="12" max="12" width="12" style="22" customWidth="1"/>
    <col min="13" max="13" width="12.28515625" customWidth="1"/>
    <col min="14" max="14" width="12.140625" style="22" customWidth="1"/>
    <col min="15" max="15" width="9.42578125" style="22" customWidth="1"/>
    <col min="16" max="16" width="12.140625" style="22" customWidth="1"/>
    <col min="17" max="17" width="10" style="22" customWidth="1"/>
    <col min="18" max="18" width="11.85546875" style="22" customWidth="1"/>
    <col min="19" max="19" width="12.5703125" style="22" customWidth="1"/>
  </cols>
  <sheetData>
    <row r="1" spans="1:19" ht="15" customHeight="1"/>
    <row r="2" spans="1:19" ht="19.5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8.25" customHeight="1">
      <c r="A3" s="1"/>
      <c r="B3" s="1"/>
      <c r="C3" s="1"/>
      <c r="D3" s="1"/>
      <c r="E3" s="1"/>
      <c r="F3" s="1"/>
      <c r="G3" s="1"/>
      <c r="H3" s="1"/>
      <c r="I3" s="23"/>
      <c r="J3" s="23"/>
      <c r="K3" s="23"/>
      <c r="L3" s="23"/>
      <c r="M3" s="1"/>
      <c r="N3" s="23"/>
      <c r="O3" s="23"/>
      <c r="P3" s="23"/>
      <c r="Q3" s="23"/>
      <c r="R3" s="23"/>
      <c r="S3" s="23"/>
    </row>
    <row r="4" spans="1:19" s="32" customFormat="1" ht="18" customHeight="1">
      <c r="A4" s="27" t="s">
        <v>265</v>
      </c>
      <c r="B4" s="30"/>
      <c r="C4" s="30"/>
      <c r="D4" s="30"/>
      <c r="E4" s="30"/>
      <c r="F4" s="30"/>
      <c r="G4" s="30"/>
      <c r="H4" s="33" t="s">
        <v>103</v>
      </c>
      <c r="K4" s="31"/>
      <c r="L4" s="31"/>
      <c r="M4" s="30"/>
      <c r="N4" s="31"/>
      <c r="O4" s="31"/>
      <c r="P4" s="31"/>
      <c r="Q4" s="31"/>
      <c r="R4" s="31"/>
      <c r="S4" s="31"/>
    </row>
    <row r="5" spans="1:19" ht="17.25" customHeight="1"/>
    <row r="6" spans="1:19" ht="42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19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</row>
    <row r="8" spans="1:19" ht="66.75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9" t="s">
        <v>14</v>
      </c>
      <c r="J8" s="50" t="s">
        <v>15</v>
      </c>
      <c r="K8" s="49" t="s">
        <v>16</v>
      </c>
      <c r="L8" s="49" t="s">
        <v>17</v>
      </c>
      <c r="M8" s="48" t="s">
        <v>11</v>
      </c>
      <c r="N8" s="49" t="s">
        <v>12</v>
      </c>
      <c r="O8" s="50" t="s">
        <v>13</v>
      </c>
      <c r="P8" s="49" t="s">
        <v>14</v>
      </c>
      <c r="Q8" s="50" t="s">
        <v>15</v>
      </c>
      <c r="R8" s="49" t="s">
        <v>16</v>
      </c>
      <c r="S8" s="49" t="s">
        <v>17</v>
      </c>
    </row>
    <row r="9" spans="1:19" ht="15.75" customHeight="1">
      <c r="A9" s="52">
        <v>1</v>
      </c>
      <c r="B9" s="53" t="s">
        <v>18</v>
      </c>
      <c r="C9" s="53" t="s">
        <v>19</v>
      </c>
      <c r="D9" s="53" t="s">
        <v>20</v>
      </c>
      <c r="E9" s="53" t="s">
        <v>21</v>
      </c>
      <c r="F9" s="53" t="s">
        <v>22</v>
      </c>
      <c r="G9" s="53" t="s">
        <v>23</v>
      </c>
      <c r="H9" s="53" t="s">
        <v>24</v>
      </c>
      <c r="I9" s="134" t="s">
        <v>25</v>
      </c>
      <c r="J9" s="134" t="s">
        <v>26</v>
      </c>
      <c r="K9" s="134" t="s">
        <v>27</v>
      </c>
      <c r="L9" s="134" t="s">
        <v>28</v>
      </c>
      <c r="M9" s="53" t="s">
        <v>29</v>
      </c>
      <c r="N9" s="134" t="s">
        <v>30</v>
      </c>
      <c r="O9" s="134" t="s">
        <v>31</v>
      </c>
      <c r="P9" s="134" t="s">
        <v>32</v>
      </c>
      <c r="Q9" s="134" t="s">
        <v>33</v>
      </c>
      <c r="R9" s="134" t="s">
        <v>34</v>
      </c>
      <c r="S9" s="134" t="s">
        <v>35</v>
      </c>
    </row>
    <row r="10" spans="1:19" ht="51" customHeight="1">
      <c r="A10" s="68">
        <v>1</v>
      </c>
      <c r="B10" s="69" t="s">
        <v>181</v>
      </c>
      <c r="C10" s="135"/>
      <c r="D10" s="69" t="s">
        <v>160</v>
      </c>
      <c r="E10" s="70" t="s">
        <v>182</v>
      </c>
      <c r="F10" s="71">
        <v>38</v>
      </c>
      <c r="G10" s="71">
        <v>45</v>
      </c>
      <c r="H10" s="74">
        <f>G10/F10*100</f>
        <v>118.42105263157893</v>
      </c>
      <c r="I10" s="72">
        <v>45</v>
      </c>
      <c r="J10" s="75">
        <f>I10/G10*100</f>
        <v>100</v>
      </c>
      <c r="K10" s="72">
        <v>45</v>
      </c>
      <c r="L10" s="72">
        <v>45</v>
      </c>
      <c r="M10" s="73">
        <v>3483.1868199999999</v>
      </c>
      <c r="N10" s="73">
        <v>3827.2322333254101</v>
      </c>
      <c r="O10" s="73">
        <f>N10/M10*100</f>
        <v>109.87731727020631</v>
      </c>
      <c r="P10" s="73">
        <v>4046.5357419670095</v>
      </c>
      <c r="Q10" s="73">
        <f>P10/N10*100</f>
        <v>105.73008104217001</v>
      </c>
      <c r="R10" s="73">
        <v>3641.8821677703086</v>
      </c>
      <c r="S10" s="73">
        <v>3641.8821677703086</v>
      </c>
    </row>
    <row r="11" spans="1:19" ht="51" customHeight="1">
      <c r="A11" s="68">
        <f>A10+1</f>
        <v>2</v>
      </c>
      <c r="B11" s="69" t="s">
        <v>183</v>
      </c>
      <c r="C11" s="135"/>
      <c r="D11" s="69" t="s">
        <v>160</v>
      </c>
      <c r="E11" s="70" t="s">
        <v>182</v>
      </c>
      <c r="F11" s="71">
        <v>1275</v>
      </c>
      <c r="G11" s="71">
        <v>1282</v>
      </c>
      <c r="H11" s="74">
        <f t="shared" ref="H11:H74" si="0">G11/F11*100</f>
        <v>100.54901960784312</v>
      </c>
      <c r="I11" s="72">
        <v>1282</v>
      </c>
      <c r="J11" s="75">
        <f t="shared" ref="J11:J74" si="1">I11/G11*100</f>
        <v>100</v>
      </c>
      <c r="K11" s="72">
        <v>1282</v>
      </c>
      <c r="L11" s="72">
        <v>1282</v>
      </c>
      <c r="M11" s="73">
        <v>74533.7644</v>
      </c>
      <c r="N11" s="73">
        <v>65045.369397572998</v>
      </c>
      <c r="O11" s="73">
        <f t="shared" ref="O11:O74" si="2">N11/M11*100</f>
        <v>87.269668882540699</v>
      </c>
      <c r="P11" s="73">
        <v>68772.521778232782</v>
      </c>
      <c r="Q11" s="73">
        <f t="shared" ref="Q11:Q74" si="3">P11/N11*100</f>
        <v>105.73008104217001</v>
      </c>
      <c r="R11" s="73">
        <v>61895.269600409505</v>
      </c>
      <c r="S11" s="73">
        <v>61895.269600409505</v>
      </c>
    </row>
    <row r="12" spans="1:19" ht="75">
      <c r="A12" s="68">
        <v>3</v>
      </c>
      <c r="B12" s="69" t="s">
        <v>184</v>
      </c>
      <c r="C12" s="135"/>
      <c r="D12" s="69" t="s">
        <v>160</v>
      </c>
      <c r="E12" s="70" t="s">
        <v>182</v>
      </c>
      <c r="F12" s="71">
        <v>342</v>
      </c>
      <c r="G12" s="71">
        <v>330</v>
      </c>
      <c r="H12" s="74">
        <f t="shared" si="0"/>
        <v>96.491228070175438</v>
      </c>
      <c r="I12" s="72">
        <v>330</v>
      </c>
      <c r="J12" s="75">
        <f t="shared" si="1"/>
        <v>100</v>
      </c>
      <c r="K12" s="72">
        <v>330</v>
      </c>
      <c r="L12" s="72">
        <v>330</v>
      </c>
      <c r="M12" s="74">
        <v>52413.395649999999</v>
      </c>
      <c r="N12" s="75">
        <v>50991.915074751385</v>
      </c>
      <c r="O12" s="73">
        <f t="shared" si="2"/>
        <v>97.287944126458044</v>
      </c>
      <c r="P12" s="73">
        <v>53913.793133489147</v>
      </c>
      <c r="Q12" s="73">
        <f t="shared" si="3"/>
        <v>105.73008104217001</v>
      </c>
      <c r="R12" s="73">
        <v>48522.413820140231</v>
      </c>
      <c r="S12" s="73">
        <v>48522.413820140231</v>
      </c>
    </row>
    <row r="13" spans="1:19" ht="46.5" customHeight="1">
      <c r="A13" s="68">
        <v>4</v>
      </c>
      <c r="B13" s="69" t="s">
        <v>185</v>
      </c>
      <c r="C13" s="135"/>
      <c r="D13" s="69" t="s">
        <v>160</v>
      </c>
      <c r="E13" s="70" t="s">
        <v>182</v>
      </c>
      <c r="F13" s="24">
        <v>290</v>
      </c>
      <c r="G13" s="24">
        <v>335</v>
      </c>
      <c r="H13" s="74">
        <f t="shared" si="0"/>
        <v>115.51724137931035</v>
      </c>
      <c r="I13" s="25">
        <v>335</v>
      </c>
      <c r="J13" s="75">
        <f t="shared" si="1"/>
        <v>100</v>
      </c>
      <c r="K13" s="25">
        <v>335</v>
      </c>
      <c r="L13" s="25">
        <v>335</v>
      </c>
      <c r="M13" s="26">
        <v>49878.188070000004</v>
      </c>
      <c r="N13" s="26">
        <f>36501.0403162254+8392</f>
        <v>44893.040316225401</v>
      </c>
      <c r="O13" s="73">
        <f t="shared" si="2"/>
        <v>90.005355152880952</v>
      </c>
      <c r="P13" s="26">
        <f t="shared" ref="P13" si="4">N13*1.0573008104217</f>
        <v>47465.447908639173</v>
      </c>
      <c r="Q13" s="73">
        <f t="shared" si="3"/>
        <v>105.73008104217001</v>
      </c>
      <c r="R13" s="26">
        <f t="shared" ref="R13" si="5">P13*0.9</f>
        <v>42718.903117775255</v>
      </c>
      <c r="S13" s="26">
        <f t="shared" ref="S13" si="6">P13*0.9</f>
        <v>42718.903117775255</v>
      </c>
    </row>
    <row r="14" spans="1:19" ht="123.75" customHeight="1">
      <c r="A14" s="68">
        <v>5</v>
      </c>
      <c r="B14" s="69" t="s">
        <v>186</v>
      </c>
      <c r="C14" s="135"/>
      <c r="D14" s="69" t="s">
        <v>160</v>
      </c>
      <c r="E14" s="70" t="s">
        <v>182</v>
      </c>
      <c r="F14" s="71">
        <v>1470</v>
      </c>
      <c r="G14" s="71">
        <v>1467</v>
      </c>
      <c r="H14" s="74">
        <f t="shared" si="0"/>
        <v>99.795918367346943</v>
      </c>
      <c r="I14" s="72">
        <v>1467</v>
      </c>
      <c r="J14" s="75">
        <f t="shared" si="1"/>
        <v>100</v>
      </c>
      <c r="K14" s="72">
        <v>1467</v>
      </c>
      <c r="L14" s="72">
        <v>1467</v>
      </c>
      <c r="M14" s="73">
        <v>101271.87699999999</v>
      </c>
      <c r="N14" s="73">
        <v>98086.097556073495</v>
      </c>
      <c r="O14" s="73">
        <f t="shared" si="2"/>
        <v>96.854230870109674</v>
      </c>
      <c r="P14" s="73">
        <v>103706.51043713844</v>
      </c>
      <c r="Q14" s="73">
        <f t="shared" si="3"/>
        <v>105.73008104217001</v>
      </c>
      <c r="R14" s="73">
        <v>93335.859393424602</v>
      </c>
      <c r="S14" s="73">
        <v>93335.859393424602</v>
      </c>
    </row>
    <row r="15" spans="1:19" ht="75">
      <c r="A15" s="68">
        <v>6</v>
      </c>
      <c r="B15" s="69" t="s">
        <v>187</v>
      </c>
      <c r="C15" s="135"/>
      <c r="D15" s="69" t="s">
        <v>160</v>
      </c>
      <c r="E15" s="70" t="s">
        <v>182</v>
      </c>
      <c r="F15" s="71">
        <v>751</v>
      </c>
      <c r="G15" s="71">
        <v>724</v>
      </c>
      <c r="H15" s="74">
        <f t="shared" si="0"/>
        <v>96.40479360852197</v>
      </c>
      <c r="I15" s="72">
        <v>724</v>
      </c>
      <c r="J15" s="75">
        <f t="shared" si="1"/>
        <v>100</v>
      </c>
      <c r="K15" s="72">
        <v>724</v>
      </c>
      <c r="L15" s="72">
        <v>724</v>
      </c>
      <c r="M15" s="73">
        <v>113492.88945</v>
      </c>
      <c r="N15" s="73">
        <v>103546.02297877565</v>
      </c>
      <c r="O15" s="73">
        <f t="shared" si="2"/>
        <v>91.235691927989464</v>
      </c>
      <c r="P15" s="73">
        <v>109479.29401140349</v>
      </c>
      <c r="Q15" s="73">
        <f t="shared" si="3"/>
        <v>105.73008104217001</v>
      </c>
      <c r="R15" s="73">
        <v>98531.364610263146</v>
      </c>
      <c r="S15" s="73">
        <v>98531.364610263146</v>
      </c>
    </row>
    <row r="16" spans="1:19" ht="45">
      <c r="A16" s="68">
        <v>7</v>
      </c>
      <c r="B16" s="69" t="s">
        <v>188</v>
      </c>
      <c r="C16" s="135"/>
      <c r="D16" s="69" t="s">
        <v>160</v>
      </c>
      <c r="E16" s="70" t="s">
        <v>182</v>
      </c>
      <c r="F16" s="71">
        <v>76</v>
      </c>
      <c r="G16" s="71">
        <v>0</v>
      </c>
      <c r="H16" s="74">
        <f t="shared" si="0"/>
        <v>0</v>
      </c>
      <c r="I16" s="72">
        <v>0</v>
      </c>
      <c r="J16" s="75" t="s">
        <v>39</v>
      </c>
      <c r="K16" s="72">
        <v>0</v>
      </c>
      <c r="L16" s="72">
        <v>0</v>
      </c>
      <c r="M16" s="73">
        <v>7457.27484</v>
      </c>
      <c r="N16" s="73">
        <v>0</v>
      </c>
      <c r="O16" s="73">
        <f t="shared" si="2"/>
        <v>0</v>
      </c>
      <c r="P16" s="73">
        <v>0</v>
      </c>
      <c r="Q16" s="73" t="s">
        <v>39</v>
      </c>
      <c r="R16" s="73">
        <v>0</v>
      </c>
      <c r="S16" s="73">
        <v>0</v>
      </c>
    </row>
    <row r="17" spans="1:19" ht="120">
      <c r="A17" s="68">
        <v>8</v>
      </c>
      <c r="B17" s="69" t="s">
        <v>189</v>
      </c>
      <c r="C17" s="135"/>
      <c r="D17" s="69" t="s">
        <v>160</v>
      </c>
      <c r="E17" s="70" t="s">
        <v>182</v>
      </c>
      <c r="F17" s="71">
        <v>741</v>
      </c>
      <c r="G17" s="71">
        <v>815</v>
      </c>
      <c r="H17" s="74">
        <f t="shared" si="0"/>
        <v>109.98650472334684</v>
      </c>
      <c r="I17" s="72">
        <v>2281</v>
      </c>
      <c r="J17" s="75">
        <f t="shared" si="1"/>
        <v>279.87730061349691</v>
      </c>
      <c r="K17" s="72">
        <v>4115</v>
      </c>
      <c r="L17" s="72">
        <v>4115</v>
      </c>
      <c r="M17" s="73">
        <v>52631.339340000006</v>
      </c>
      <c r="N17" s="73">
        <v>61387.032735091598</v>
      </c>
      <c r="O17" s="73">
        <f t="shared" si="2"/>
        <v>116.63589318624319</v>
      </c>
      <c r="P17" s="73">
        <v>70596.559460195771</v>
      </c>
      <c r="Q17" s="73">
        <f t="shared" si="3"/>
        <v>115.00239759893067</v>
      </c>
      <c r="R17" s="73">
        <v>63536.903514176192</v>
      </c>
      <c r="S17" s="73">
        <v>63536.903514176192</v>
      </c>
    </row>
    <row r="18" spans="1:19" ht="75">
      <c r="A18" s="68">
        <v>9</v>
      </c>
      <c r="B18" s="69" t="s">
        <v>190</v>
      </c>
      <c r="C18" s="135"/>
      <c r="D18" s="69" t="s">
        <v>160</v>
      </c>
      <c r="E18" s="70" t="s">
        <v>182</v>
      </c>
      <c r="F18" s="71">
        <v>5</v>
      </c>
      <c r="G18" s="71">
        <v>6</v>
      </c>
      <c r="H18" s="74">
        <f t="shared" si="0"/>
        <v>120</v>
      </c>
      <c r="I18" s="72">
        <v>6</v>
      </c>
      <c r="J18" s="75">
        <f t="shared" si="1"/>
        <v>100</v>
      </c>
      <c r="K18" s="72">
        <v>6</v>
      </c>
      <c r="L18" s="72">
        <v>6</v>
      </c>
      <c r="M18" s="73">
        <v>3319.0077299999998</v>
      </c>
      <c r="N18" s="73">
        <v>2714.6144510348399</v>
      </c>
      <c r="O18" s="73">
        <f t="shared" si="2"/>
        <v>81.789940604773477</v>
      </c>
      <c r="P18" s="73">
        <v>2870.1640590615948</v>
      </c>
      <c r="Q18" s="73">
        <f t="shared" si="3"/>
        <v>105.73008104217001</v>
      </c>
      <c r="R18" s="73">
        <v>2583.1476531554354</v>
      </c>
      <c r="S18" s="73">
        <v>2583.1476531554354</v>
      </c>
    </row>
    <row r="19" spans="1:19" ht="30">
      <c r="A19" s="68">
        <v>10</v>
      </c>
      <c r="B19" s="69" t="s">
        <v>191</v>
      </c>
      <c r="C19" s="135"/>
      <c r="D19" s="69" t="s">
        <v>192</v>
      </c>
      <c r="E19" s="76" t="s">
        <v>193</v>
      </c>
      <c r="F19" s="71">
        <v>32632</v>
      </c>
      <c r="G19" s="71">
        <v>56940</v>
      </c>
      <c r="H19" s="74">
        <f t="shared" si="0"/>
        <v>174.4912968864918</v>
      </c>
      <c r="I19" s="72">
        <v>56940</v>
      </c>
      <c r="J19" s="75">
        <f t="shared" si="1"/>
        <v>100</v>
      </c>
      <c r="K19" s="72">
        <v>56940</v>
      </c>
      <c r="L19" s="72">
        <v>56940</v>
      </c>
      <c r="M19" s="73">
        <v>1129.2231899999999</v>
      </c>
      <c r="N19" s="73">
        <v>4456.0754848115002</v>
      </c>
      <c r="O19" s="73">
        <f t="shared" si="2"/>
        <v>394.61423784712576</v>
      </c>
      <c r="P19" s="73">
        <v>4711.4122213914698</v>
      </c>
      <c r="Q19" s="73">
        <f t="shared" si="3"/>
        <v>105.73008104217001</v>
      </c>
      <c r="R19" s="73">
        <v>4240.2709992523232</v>
      </c>
      <c r="S19" s="73">
        <v>4240.2709992523232</v>
      </c>
    </row>
    <row r="20" spans="1:19">
      <c r="A20" s="68">
        <v>11</v>
      </c>
      <c r="B20" s="69" t="s">
        <v>161</v>
      </c>
      <c r="C20" s="135"/>
      <c r="D20" s="69" t="s">
        <v>160</v>
      </c>
      <c r="E20" s="70" t="s">
        <v>182</v>
      </c>
      <c r="F20" s="71">
        <v>915</v>
      </c>
      <c r="G20" s="71">
        <v>862</v>
      </c>
      <c r="H20" s="74">
        <f t="shared" si="0"/>
        <v>94.207650273224047</v>
      </c>
      <c r="I20" s="72">
        <v>862</v>
      </c>
      <c r="J20" s="75">
        <f t="shared" si="1"/>
        <v>100</v>
      </c>
      <c r="K20" s="72">
        <v>862</v>
      </c>
      <c r="L20" s="72">
        <v>862</v>
      </c>
      <c r="M20" s="73">
        <v>25824.325690000001</v>
      </c>
      <c r="N20" s="73">
        <v>51886.703559164998</v>
      </c>
      <c r="O20" s="73">
        <f t="shared" si="2"/>
        <v>200.92181372719128</v>
      </c>
      <c r="P20" s="73">
        <v>54859.853723215667</v>
      </c>
      <c r="Q20" s="73">
        <f t="shared" si="3"/>
        <v>105.73008104217001</v>
      </c>
      <c r="R20" s="73">
        <v>49373.868350894103</v>
      </c>
      <c r="S20" s="73">
        <v>49373.868350894103</v>
      </c>
    </row>
    <row r="21" spans="1:19">
      <c r="A21" s="68">
        <v>12</v>
      </c>
      <c r="B21" s="69" t="s">
        <v>194</v>
      </c>
      <c r="C21" s="135"/>
      <c r="D21" s="69" t="s">
        <v>160</v>
      </c>
      <c r="E21" s="70" t="s">
        <v>182</v>
      </c>
      <c r="F21" s="71">
        <v>819</v>
      </c>
      <c r="G21" s="71">
        <v>907</v>
      </c>
      <c r="H21" s="74">
        <f t="shared" si="0"/>
        <v>110.74481074481075</v>
      </c>
      <c r="I21" s="72">
        <v>907</v>
      </c>
      <c r="J21" s="75">
        <f t="shared" si="1"/>
        <v>100</v>
      </c>
      <c r="K21" s="72">
        <v>907</v>
      </c>
      <c r="L21" s="72">
        <v>907</v>
      </c>
      <c r="M21" s="73">
        <v>28800.99368</v>
      </c>
      <c r="N21" s="73">
        <v>49217.702113640204</v>
      </c>
      <c r="O21" s="73">
        <f t="shared" si="2"/>
        <v>170.88890286385495</v>
      </c>
      <c r="P21" s="73">
        <v>52037.916331845612</v>
      </c>
      <c r="Q21" s="73">
        <f t="shared" si="3"/>
        <v>105.73008104217001</v>
      </c>
      <c r="R21" s="73">
        <v>46834.124698661049</v>
      </c>
      <c r="S21" s="73">
        <v>46834.124698661049</v>
      </c>
    </row>
    <row r="22" spans="1:19" ht="48.75" customHeight="1">
      <c r="A22" s="68">
        <v>13</v>
      </c>
      <c r="B22" s="69" t="s">
        <v>195</v>
      </c>
      <c r="C22" s="135"/>
      <c r="D22" s="69" t="s">
        <v>160</v>
      </c>
      <c r="E22" s="70" t="s">
        <v>182</v>
      </c>
      <c r="F22" s="71">
        <v>334</v>
      </c>
      <c r="G22" s="71">
        <v>360</v>
      </c>
      <c r="H22" s="74">
        <f t="shared" si="0"/>
        <v>107.78443113772455</v>
      </c>
      <c r="I22" s="72">
        <v>360</v>
      </c>
      <c r="J22" s="75">
        <f t="shared" si="1"/>
        <v>100</v>
      </c>
      <c r="K22" s="72">
        <v>360</v>
      </c>
      <c r="L22" s="72">
        <v>360</v>
      </c>
      <c r="M22" s="73">
        <v>4278.2081100000005</v>
      </c>
      <c r="N22" s="73">
        <v>5395.1355882644602</v>
      </c>
      <c r="O22" s="73">
        <f t="shared" si="2"/>
        <v>126.10736667189524</v>
      </c>
      <c r="P22" s="73">
        <v>5704.2812298069693</v>
      </c>
      <c r="Q22" s="73">
        <f t="shared" si="3"/>
        <v>105.73008104217001</v>
      </c>
      <c r="R22" s="73">
        <v>5133.8531068262728</v>
      </c>
      <c r="S22" s="73">
        <v>5133.8531068262728</v>
      </c>
    </row>
    <row r="23" spans="1:19" ht="90">
      <c r="A23" s="68">
        <v>14</v>
      </c>
      <c r="B23" s="69" t="s">
        <v>196</v>
      </c>
      <c r="C23" s="135"/>
      <c r="D23" s="69" t="s">
        <v>197</v>
      </c>
      <c r="E23" s="70" t="s">
        <v>182</v>
      </c>
      <c r="F23" s="71">
        <v>2898</v>
      </c>
      <c r="G23" s="71">
        <v>2940</v>
      </c>
      <c r="H23" s="74">
        <f t="shared" si="0"/>
        <v>101.44927536231884</v>
      </c>
      <c r="I23" s="72">
        <v>2940</v>
      </c>
      <c r="J23" s="75">
        <f t="shared" si="1"/>
        <v>100</v>
      </c>
      <c r="K23" s="72">
        <v>2940</v>
      </c>
      <c r="L23" s="72">
        <v>2940</v>
      </c>
      <c r="M23" s="73">
        <v>6076.8216400000001</v>
      </c>
      <c r="N23" s="73">
        <v>5836.2318368038104</v>
      </c>
      <c r="O23" s="73">
        <f t="shared" si="2"/>
        <v>96.040861202630438</v>
      </c>
      <c r="P23" s="73">
        <v>6170.6526508615962</v>
      </c>
      <c r="Q23" s="73">
        <f t="shared" si="3"/>
        <v>105.73008104217001</v>
      </c>
      <c r="R23" s="73">
        <v>5553.5873857754368</v>
      </c>
      <c r="S23" s="73">
        <v>5553.5873857754368</v>
      </c>
    </row>
    <row r="24" spans="1:19" ht="75">
      <c r="A24" s="68">
        <v>15</v>
      </c>
      <c r="B24" s="69" t="s">
        <v>198</v>
      </c>
      <c r="C24" s="135"/>
      <c r="D24" s="69" t="s">
        <v>160</v>
      </c>
      <c r="E24" s="70" t="s">
        <v>182</v>
      </c>
      <c r="F24" s="71">
        <v>11</v>
      </c>
      <c r="G24" s="71">
        <v>12</v>
      </c>
      <c r="H24" s="74">
        <f t="shared" si="0"/>
        <v>109.09090909090908</v>
      </c>
      <c r="I24" s="72">
        <v>12</v>
      </c>
      <c r="J24" s="75">
        <f t="shared" si="1"/>
        <v>100</v>
      </c>
      <c r="K24" s="72">
        <v>12</v>
      </c>
      <c r="L24" s="72">
        <v>12</v>
      </c>
      <c r="M24" s="73">
        <v>2085.0544500000001</v>
      </c>
      <c r="N24" s="73">
        <v>2199.5487613863393</v>
      </c>
      <c r="O24" s="73">
        <f t="shared" si="2"/>
        <v>105.49119047640887</v>
      </c>
      <c r="P24" s="73">
        <v>2325.5846879758233</v>
      </c>
      <c r="Q24" s="73">
        <f t="shared" si="3"/>
        <v>105.73008104217001</v>
      </c>
      <c r="R24" s="73">
        <v>2093.0262191782408</v>
      </c>
      <c r="S24" s="73">
        <v>2093.0262191782408</v>
      </c>
    </row>
    <row r="25" spans="1:19" ht="45">
      <c r="A25" s="68">
        <v>16</v>
      </c>
      <c r="B25" s="69" t="s">
        <v>199</v>
      </c>
      <c r="C25" s="135"/>
      <c r="D25" s="69" t="s">
        <v>160</v>
      </c>
      <c r="E25" s="70" t="s">
        <v>182</v>
      </c>
      <c r="F25" s="71">
        <v>11</v>
      </c>
      <c r="G25" s="71">
        <v>12</v>
      </c>
      <c r="H25" s="74">
        <f t="shared" si="0"/>
        <v>109.09090909090908</v>
      </c>
      <c r="I25" s="72">
        <v>12</v>
      </c>
      <c r="J25" s="75">
        <f t="shared" si="1"/>
        <v>100</v>
      </c>
      <c r="K25" s="72">
        <v>12</v>
      </c>
      <c r="L25" s="72">
        <v>12</v>
      </c>
      <c r="M25" s="73">
        <v>325.49932000000001</v>
      </c>
      <c r="N25" s="73">
        <v>343.95228200650376</v>
      </c>
      <c r="O25" s="73">
        <f t="shared" si="2"/>
        <v>105.66912459494655</v>
      </c>
      <c r="P25" s="73">
        <v>363.66102651186958</v>
      </c>
      <c r="Q25" s="73">
        <f t="shared" si="3"/>
        <v>105.73008104217001</v>
      </c>
      <c r="R25" s="73">
        <v>327.29492386068262</v>
      </c>
      <c r="S25" s="73">
        <v>327.29492386068262</v>
      </c>
    </row>
    <row r="26" spans="1:19" ht="60">
      <c r="A26" s="68">
        <v>17</v>
      </c>
      <c r="B26" s="69" t="s">
        <v>200</v>
      </c>
      <c r="C26" s="135"/>
      <c r="D26" s="69" t="s">
        <v>192</v>
      </c>
      <c r="E26" s="76" t="s">
        <v>193</v>
      </c>
      <c r="F26" s="71">
        <v>95305</v>
      </c>
      <c r="G26" s="71">
        <v>79215</v>
      </c>
      <c r="H26" s="74">
        <f t="shared" si="0"/>
        <v>83.117360054561672</v>
      </c>
      <c r="I26" s="72">
        <v>79215</v>
      </c>
      <c r="J26" s="75">
        <f t="shared" si="1"/>
        <v>100</v>
      </c>
      <c r="K26" s="72">
        <v>79215</v>
      </c>
      <c r="L26" s="72">
        <v>79215</v>
      </c>
      <c r="M26" s="73">
        <v>5859.8663499999993</v>
      </c>
      <c r="N26" s="73">
        <v>9069.8424263091165</v>
      </c>
      <c r="O26" s="73">
        <f t="shared" si="2"/>
        <v>154.77899809624697</v>
      </c>
      <c r="P26" s="73">
        <v>9589.5517477337471</v>
      </c>
      <c r="Q26" s="73">
        <f t="shared" si="3"/>
        <v>105.73008104217001</v>
      </c>
      <c r="R26" s="73">
        <v>8630.5965729603722</v>
      </c>
      <c r="S26" s="73">
        <v>8630.5965729603722</v>
      </c>
    </row>
    <row r="27" spans="1:19" ht="30">
      <c r="A27" s="68">
        <v>18</v>
      </c>
      <c r="B27" s="69" t="s">
        <v>201</v>
      </c>
      <c r="C27" s="135"/>
      <c r="D27" s="69" t="s">
        <v>160</v>
      </c>
      <c r="E27" s="70" t="s">
        <v>182</v>
      </c>
      <c r="F27" s="71">
        <v>626</v>
      </c>
      <c r="G27" s="71">
        <v>576</v>
      </c>
      <c r="H27" s="74">
        <f t="shared" si="0"/>
        <v>92.012779552715656</v>
      </c>
      <c r="I27" s="72">
        <v>576</v>
      </c>
      <c r="J27" s="75">
        <f t="shared" si="1"/>
        <v>100</v>
      </c>
      <c r="K27" s="72">
        <v>576</v>
      </c>
      <c r="L27" s="72">
        <v>576</v>
      </c>
      <c r="M27" s="73">
        <v>64310.071509999994</v>
      </c>
      <c r="N27" s="73">
        <v>69972.798673899029</v>
      </c>
      <c r="O27" s="73">
        <f t="shared" si="2"/>
        <v>108.80535043880101</v>
      </c>
      <c r="P27" s="73">
        <v>73982.29674538791</v>
      </c>
      <c r="Q27" s="73">
        <f t="shared" si="3"/>
        <v>105.73008104217001</v>
      </c>
      <c r="R27" s="73">
        <v>66584.067070849123</v>
      </c>
      <c r="S27" s="73">
        <v>66584.067070849123</v>
      </c>
    </row>
    <row r="28" spans="1:19" ht="30">
      <c r="A28" s="68">
        <v>19</v>
      </c>
      <c r="B28" s="69" t="s">
        <v>202</v>
      </c>
      <c r="C28" s="135"/>
      <c r="D28" s="69" t="s">
        <v>160</v>
      </c>
      <c r="E28" s="70" t="s">
        <v>182</v>
      </c>
      <c r="F28" s="71">
        <v>929</v>
      </c>
      <c r="G28" s="71">
        <v>865</v>
      </c>
      <c r="H28" s="74">
        <f t="shared" si="0"/>
        <v>93.110871905274479</v>
      </c>
      <c r="I28" s="72">
        <v>865</v>
      </c>
      <c r="J28" s="75">
        <f t="shared" si="1"/>
        <v>100</v>
      </c>
      <c r="K28" s="72">
        <v>865</v>
      </c>
      <c r="L28" s="72">
        <v>865</v>
      </c>
      <c r="M28" s="73">
        <v>63732.518179999999</v>
      </c>
      <c r="N28" s="73">
        <v>68973.818126865692</v>
      </c>
      <c r="O28" s="73">
        <f t="shared" si="2"/>
        <v>108.2239021719849</v>
      </c>
      <c r="P28" s="73">
        <v>72926.073803414038</v>
      </c>
      <c r="Q28" s="73">
        <f t="shared" si="3"/>
        <v>105.73008104217001</v>
      </c>
      <c r="R28" s="73">
        <v>65633.466423072634</v>
      </c>
      <c r="S28" s="73">
        <v>65633.466423072634</v>
      </c>
    </row>
    <row r="29" spans="1:19" ht="60">
      <c r="A29" s="68">
        <v>20</v>
      </c>
      <c r="B29" s="69" t="s">
        <v>203</v>
      </c>
      <c r="C29" s="135"/>
      <c r="D29" s="69" t="s">
        <v>160</v>
      </c>
      <c r="E29" s="70" t="s">
        <v>182</v>
      </c>
      <c r="F29" s="71">
        <v>976</v>
      </c>
      <c r="G29" s="71">
        <v>960</v>
      </c>
      <c r="H29" s="74">
        <f t="shared" si="0"/>
        <v>98.360655737704917</v>
      </c>
      <c r="I29" s="72">
        <v>960</v>
      </c>
      <c r="J29" s="75">
        <f t="shared" si="1"/>
        <v>100</v>
      </c>
      <c r="K29" s="72">
        <v>960</v>
      </c>
      <c r="L29" s="72">
        <v>960</v>
      </c>
      <c r="M29" s="73">
        <v>8512.3910500000002</v>
      </c>
      <c r="N29" s="73">
        <v>9108.2299803607184</v>
      </c>
      <c r="O29" s="73">
        <f t="shared" si="2"/>
        <v>106.99966586192863</v>
      </c>
      <c r="P29" s="73">
        <v>9630.1389397426137</v>
      </c>
      <c r="Q29" s="73">
        <f t="shared" si="3"/>
        <v>105.73008104217001</v>
      </c>
      <c r="R29" s="73">
        <v>8667.1250457683527</v>
      </c>
      <c r="S29" s="73">
        <v>8667.1250457683527</v>
      </c>
    </row>
    <row r="30" spans="1:19" ht="77.25" customHeight="1">
      <c r="A30" s="68">
        <v>21</v>
      </c>
      <c r="B30" s="69" t="s">
        <v>204</v>
      </c>
      <c r="C30" s="135"/>
      <c r="D30" s="69" t="s">
        <v>160</v>
      </c>
      <c r="E30" s="70" t="s">
        <v>182</v>
      </c>
      <c r="F30" s="71">
        <v>2108</v>
      </c>
      <c r="G30" s="71">
        <v>2206</v>
      </c>
      <c r="H30" s="74">
        <f t="shared" si="0"/>
        <v>104.64895635673624</v>
      </c>
      <c r="I30" s="72">
        <v>2206</v>
      </c>
      <c r="J30" s="75">
        <f t="shared" si="1"/>
        <v>100</v>
      </c>
      <c r="K30" s="72">
        <v>2206</v>
      </c>
      <c r="L30" s="72">
        <v>2206</v>
      </c>
      <c r="M30" s="73">
        <v>4724.0337199999994</v>
      </c>
      <c r="N30" s="73">
        <v>6533.284182996751</v>
      </c>
      <c r="O30" s="73">
        <f t="shared" si="2"/>
        <v>138.29884734600819</v>
      </c>
      <c r="P30" s="73">
        <v>6907.64666139774</v>
      </c>
      <c r="Q30" s="73">
        <f t="shared" si="3"/>
        <v>105.73008104217001</v>
      </c>
      <c r="R30" s="73">
        <v>6216.8819952579661</v>
      </c>
      <c r="S30" s="73">
        <v>6216.8819952579661</v>
      </c>
    </row>
    <row r="31" spans="1:19" ht="45">
      <c r="A31" s="68">
        <v>22</v>
      </c>
      <c r="B31" s="69" t="s">
        <v>205</v>
      </c>
      <c r="C31" s="135"/>
      <c r="D31" s="69" t="s">
        <v>160</v>
      </c>
      <c r="E31" s="70" t="s">
        <v>182</v>
      </c>
      <c r="F31" s="71">
        <v>400</v>
      </c>
      <c r="G31" s="71">
        <v>375</v>
      </c>
      <c r="H31" s="74">
        <f t="shared" si="0"/>
        <v>93.75</v>
      </c>
      <c r="I31" s="72">
        <v>375</v>
      </c>
      <c r="J31" s="75">
        <f t="shared" si="1"/>
        <v>100</v>
      </c>
      <c r="K31" s="72">
        <v>375</v>
      </c>
      <c r="L31" s="72">
        <v>375</v>
      </c>
      <c r="M31" s="73">
        <v>2177.2938799999997</v>
      </c>
      <c r="N31" s="73">
        <v>686.75244064010872</v>
      </c>
      <c r="O31" s="73">
        <f t="shared" si="2"/>
        <v>31.541559315828732</v>
      </c>
      <c r="P31" s="73">
        <v>726.10391204786742</v>
      </c>
      <c r="Q31" s="73">
        <f t="shared" si="3"/>
        <v>105.73008104217001</v>
      </c>
      <c r="R31" s="73">
        <v>653.49352084308066</v>
      </c>
      <c r="S31" s="73">
        <v>653.49352084308066</v>
      </c>
    </row>
    <row r="32" spans="1:19" ht="45">
      <c r="A32" s="68">
        <v>23</v>
      </c>
      <c r="B32" s="69" t="s">
        <v>206</v>
      </c>
      <c r="C32" s="135"/>
      <c r="D32" s="69" t="s">
        <v>207</v>
      </c>
      <c r="E32" s="76" t="s">
        <v>193</v>
      </c>
      <c r="F32" s="71">
        <v>9113</v>
      </c>
      <c r="G32" s="71">
        <v>9113</v>
      </c>
      <c r="H32" s="74">
        <f t="shared" si="0"/>
        <v>100</v>
      </c>
      <c r="I32" s="72">
        <v>9113</v>
      </c>
      <c r="J32" s="75">
        <f t="shared" si="1"/>
        <v>100</v>
      </c>
      <c r="K32" s="72">
        <v>9113</v>
      </c>
      <c r="L32" s="72">
        <v>9113</v>
      </c>
      <c r="M32" s="73">
        <v>303.13896</v>
      </c>
      <c r="N32" s="73">
        <v>718.44860266175192</v>
      </c>
      <c r="O32" s="73">
        <f t="shared" si="2"/>
        <v>237.00305716617618</v>
      </c>
      <c r="P32" s="73">
        <v>811.84331932653572</v>
      </c>
      <c r="Q32" s="73">
        <f t="shared" si="3"/>
        <v>112.99949868630399</v>
      </c>
      <c r="R32" s="73">
        <v>730.65898739388217</v>
      </c>
      <c r="S32" s="73">
        <v>730.65898739388217</v>
      </c>
    </row>
    <row r="33" spans="1:19" ht="75">
      <c r="A33" s="68">
        <v>24</v>
      </c>
      <c r="B33" s="69" t="s">
        <v>208</v>
      </c>
      <c r="C33" s="135"/>
      <c r="D33" s="69" t="s">
        <v>192</v>
      </c>
      <c r="E33" s="76" t="s">
        <v>193</v>
      </c>
      <c r="F33" s="71">
        <v>831814</v>
      </c>
      <c r="G33" s="71">
        <v>831814</v>
      </c>
      <c r="H33" s="74">
        <f t="shared" si="0"/>
        <v>100</v>
      </c>
      <c r="I33" s="72">
        <v>831814</v>
      </c>
      <c r="J33" s="75">
        <f t="shared" si="1"/>
        <v>100</v>
      </c>
      <c r="K33" s="72">
        <v>831814</v>
      </c>
      <c r="L33" s="72">
        <v>831814</v>
      </c>
      <c r="M33" s="73">
        <v>80096.22064</v>
      </c>
      <c r="N33" s="73">
        <v>80448.292425184103</v>
      </c>
      <c r="O33" s="73">
        <f t="shared" si="2"/>
        <v>100.43956104591567</v>
      </c>
      <c r="P33" s="73">
        <v>90906.167142149905</v>
      </c>
      <c r="Q33" s="73">
        <f t="shared" si="3"/>
        <v>112.99949868630399</v>
      </c>
      <c r="R33" s="73">
        <v>81815.550427934912</v>
      </c>
      <c r="S33" s="73">
        <v>81815.550427934912</v>
      </c>
    </row>
    <row r="34" spans="1:19" ht="105">
      <c r="A34" s="68">
        <v>25</v>
      </c>
      <c r="B34" s="69" t="s">
        <v>209</v>
      </c>
      <c r="C34" s="135"/>
      <c r="D34" s="69" t="s">
        <v>192</v>
      </c>
      <c r="E34" s="76" t="s">
        <v>193</v>
      </c>
      <c r="F34" s="71">
        <v>10111</v>
      </c>
      <c r="G34" s="71">
        <v>10111</v>
      </c>
      <c r="H34" s="74">
        <f t="shared" si="0"/>
        <v>100</v>
      </c>
      <c r="I34" s="72">
        <v>10111</v>
      </c>
      <c r="J34" s="75">
        <f t="shared" si="1"/>
        <v>100</v>
      </c>
      <c r="K34" s="72">
        <v>10111</v>
      </c>
      <c r="L34" s="72">
        <v>10111</v>
      </c>
      <c r="M34" s="73">
        <v>898.24460999999997</v>
      </c>
      <c r="N34" s="73">
        <v>1035.8231041678077</v>
      </c>
      <c r="O34" s="73">
        <f t="shared" si="2"/>
        <v>115.31637291626029</v>
      </c>
      <c r="P34" s="73">
        <v>1170.4749149865352</v>
      </c>
      <c r="Q34" s="73">
        <f t="shared" si="3"/>
        <v>112.99949868630399</v>
      </c>
      <c r="R34" s="73">
        <v>1053.4274234878817</v>
      </c>
      <c r="S34" s="73">
        <v>1053.4274234878817</v>
      </c>
    </row>
    <row r="35" spans="1:19" ht="45.75" customHeight="1">
      <c r="A35" s="68">
        <v>26</v>
      </c>
      <c r="B35" s="69" t="s">
        <v>210</v>
      </c>
      <c r="C35" s="135"/>
      <c r="D35" s="69" t="s">
        <v>207</v>
      </c>
      <c r="E35" s="76" t="s">
        <v>193</v>
      </c>
      <c r="F35" s="71">
        <v>83360</v>
      </c>
      <c r="G35" s="71">
        <v>83360</v>
      </c>
      <c r="H35" s="74">
        <f t="shared" si="0"/>
        <v>100</v>
      </c>
      <c r="I35" s="72">
        <v>83360</v>
      </c>
      <c r="J35" s="75">
        <f t="shared" si="1"/>
        <v>100</v>
      </c>
      <c r="K35" s="72">
        <v>83360</v>
      </c>
      <c r="L35" s="72">
        <v>83360</v>
      </c>
      <c r="M35" s="73">
        <v>6079.4276500000005</v>
      </c>
      <c r="N35" s="73">
        <v>6575.4458406047652</v>
      </c>
      <c r="O35" s="73">
        <f t="shared" si="2"/>
        <v>108.15896198065231</v>
      </c>
      <c r="P35" s="73">
        <v>7430.2208362728115</v>
      </c>
      <c r="Q35" s="73">
        <f t="shared" si="3"/>
        <v>112.99949868630399</v>
      </c>
      <c r="R35" s="73">
        <v>6687.1987526455305</v>
      </c>
      <c r="S35" s="73">
        <v>6687.1987526455305</v>
      </c>
    </row>
    <row r="36" spans="1:19" ht="90">
      <c r="A36" s="68">
        <v>27</v>
      </c>
      <c r="B36" s="69" t="s">
        <v>211</v>
      </c>
      <c r="C36" s="135"/>
      <c r="D36" s="69" t="s">
        <v>150</v>
      </c>
      <c r="E36" s="76" t="s">
        <v>182</v>
      </c>
      <c r="F36" s="71">
        <v>40</v>
      </c>
      <c r="G36" s="71">
        <v>40</v>
      </c>
      <c r="H36" s="74">
        <f t="shared" si="0"/>
        <v>100</v>
      </c>
      <c r="I36" s="72">
        <v>40</v>
      </c>
      <c r="J36" s="75">
        <f t="shared" si="1"/>
        <v>100</v>
      </c>
      <c r="K36" s="72">
        <v>40</v>
      </c>
      <c r="L36" s="72">
        <v>40</v>
      </c>
      <c r="M36" s="73">
        <v>1347.16814</v>
      </c>
      <c r="N36" s="73">
        <v>1389.8055567334823</v>
      </c>
      <c r="O36" s="73">
        <f t="shared" si="2"/>
        <v>103.16496623305554</v>
      </c>
      <c r="P36" s="73">
        <v>1570.4733118232311</v>
      </c>
      <c r="Q36" s="73">
        <f t="shared" si="3"/>
        <v>112.99949868630399</v>
      </c>
      <c r="R36" s="73">
        <v>1413.4259806409082</v>
      </c>
      <c r="S36" s="73">
        <v>1413.4259806409082</v>
      </c>
    </row>
    <row r="37" spans="1:19" ht="30">
      <c r="A37" s="68">
        <v>28</v>
      </c>
      <c r="B37" s="77" t="s">
        <v>212</v>
      </c>
      <c r="C37" s="135"/>
      <c r="D37" s="69" t="s">
        <v>213</v>
      </c>
      <c r="E37" s="76" t="s">
        <v>214</v>
      </c>
      <c r="F37" s="71">
        <v>0</v>
      </c>
      <c r="G37" s="71">
        <v>7</v>
      </c>
      <c r="H37" s="74" t="s">
        <v>39</v>
      </c>
      <c r="I37" s="72">
        <v>7</v>
      </c>
      <c r="J37" s="75">
        <f t="shared" si="1"/>
        <v>100</v>
      </c>
      <c r="K37" s="72">
        <v>7</v>
      </c>
      <c r="L37" s="72">
        <v>7</v>
      </c>
      <c r="M37" s="73">
        <v>0</v>
      </c>
      <c r="N37" s="73">
        <v>1338.9511189444345</v>
      </c>
      <c r="O37" s="73" t="s">
        <v>39</v>
      </c>
      <c r="P37" s="73">
        <v>1513.0080520618687</v>
      </c>
      <c r="Q37" s="73">
        <f t="shared" si="3"/>
        <v>112.99949868630399</v>
      </c>
      <c r="R37" s="73">
        <v>1361.7072468556819</v>
      </c>
      <c r="S37" s="73">
        <v>1361.7072468556819</v>
      </c>
    </row>
    <row r="38" spans="1:19" ht="45">
      <c r="A38" s="68">
        <v>29</v>
      </c>
      <c r="B38" s="77" t="s">
        <v>212</v>
      </c>
      <c r="C38" s="135"/>
      <c r="D38" s="69" t="s">
        <v>215</v>
      </c>
      <c r="E38" s="76" t="s">
        <v>214</v>
      </c>
      <c r="F38" s="71">
        <v>0</v>
      </c>
      <c r="G38" s="71">
        <v>15</v>
      </c>
      <c r="H38" s="74" t="s">
        <v>39</v>
      </c>
      <c r="I38" s="72">
        <v>15</v>
      </c>
      <c r="J38" s="75">
        <f t="shared" si="1"/>
        <v>100</v>
      </c>
      <c r="K38" s="72">
        <v>15</v>
      </c>
      <c r="L38" s="72">
        <v>15</v>
      </c>
      <c r="M38" s="73">
        <v>0</v>
      </c>
      <c r="N38" s="73">
        <v>2845.333351703694</v>
      </c>
      <c r="O38" s="73" t="s">
        <v>39</v>
      </c>
      <c r="P38" s="73">
        <v>3215.2124233793852</v>
      </c>
      <c r="Q38" s="73">
        <f t="shared" si="3"/>
        <v>112.99949868630399</v>
      </c>
      <c r="R38" s="73">
        <v>2893.6911810414467</v>
      </c>
      <c r="S38" s="73">
        <v>2893.6911810414467</v>
      </c>
    </row>
    <row r="39" spans="1:19" ht="45">
      <c r="A39" s="68">
        <v>30</v>
      </c>
      <c r="B39" s="69" t="s">
        <v>216</v>
      </c>
      <c r="C39" s="135"/>
      <c r="D39" s="69" t="s">
        <v>160</v>
      </c>
      <c r="E39" s="70" t="s">
        <v>182</v>
      </c>
      <c r="F39" s="71">
        <v>9</v>
      </c>
      <c r="G39" s="71">
        <v>11</v>
      </c>
      <c r="H39" s="74">
        <f t="shared" si="0"/>
        <v>122.22222222222223</v>
      </c>
      <c r="I39" s="72">
        <v>11</v>
      </c>
      <c r="J39" s="75">
        <f t="shared" si="1"/>
        <v>100</v>
      </c>
      <c r="K39" s="72">
        <v>11</v>
      </c>
      <c r="L39" s="72">
        <v>11</v>
      </c>
      <c r="M39" s="73">
        <v>4263.0665199999994</v>
      </c>
      <c r="N39" s="73">
        <v>4210.9462469121518</v>
      </c>
      <c r="O39" s="73">
        <f t="shared" si="2"/>
        <v>98.777399488294932</v>
      </c>
      <c r="P39" s="73">
        <v>4119.7838890957137</v>
      </c>
      <c r="Q39" s="73">
        <f t="shared" si="3"/>
        <v>97.835109914231595</v>
      </c>
      <c r="R39" s="73">
        <v>3707.8055001861426</v>
      </c>
      <c r="S39" s="73">
        <v>3707.8055001861426</v>
      </c>
    </row>
    <row r="40" spans="1:19" ht="75">
      <c r="A40" s="68">
        <v>31</v>
      </c>
      <c r="B40" s="69" t="s">
        <v>217</v>
      </c>
      <c r="C40" s="135"/>
      <c r="D40" s="69" t="s">
        <v>160</v>
      </c>
      <c r="E40" s="70" t="s">
        <v>182</v>
      </c>
      <c r="F40" s="71">
        <v>40</v>
      </c>
      <c r="G40" s="71">
        <v>40</v>
      </c>
      <c r="H40" s="74">
        <f t="shared" si="0"/>
        <v>100</v>
      </c>
      <c r="I40" s="72">
        <v>40</v>
      </c>
      <c r="J40" s="75">
        <f t="shared" si="1"/>
        <v>100</v>
      </c>
      <c r="K40" s="72">
        <v>40</v>
      </c>
      <c r="L40" s="72">
        <v>40</v>
      </c>
      <c r="M40" s="73">
        <v>12271.134099999999</v>
      </c>
      <c r="N40" s="73">
        <v>13508.511478368773</v>
      </c>
      <c r="O40" s="73">
        <f t="shared" si="2"/>
        <v>110.08364319292032</v>
      </c>
      <c r="P40" s="73">
        <v>13216.067052638682</v>
      </c>
      <c r="Q40" s="73">
        <f t="shared" si="3"/>
        <v>97.835109914231609</v>
      </c>
      <c r="R40" s="73">
        <v>11894.460347374814</v>
      </c>
      <c r="S40" s="73">
        <v>11894.460347374814</v>
      </c>
    </row>
    <row r="41" spans="1:19" ht="45">
      <c r="A41" s="68">
        <v>32</v>
      </c>
      <c r="B41" s="69" t="s">
        <v>199</v>
      </c>
      <c r="C41" s="135"/>
      <c r="D41" s="69" t="s">
        <v>160</v>
      </c>
      <c r="E41" s="70" t="s">
        <v>182</v>
      </c>
      <c r="F41" s="71">
        <v>40</v>
      </c>
      <c r="G41" s="71">
        <v>40</v>
      </c>
      <c r="H41" s="74">
        <f t="shared" si="0"/>
        <v>100</v>
      </c>
      <c r="I41" s="72">
        <v>40</v>
      </c>
      <c r="J41" s="75">
        <f t="shared" si="1"/>
        <v>100</v>
      </c>
      <c r="K41" s="72">
        <v>40</v>
      </c>
      <c r="L41" s="72">
        <v>40</v>
      </c>
      <c r="M41" s="73">
        <v>5799.7900300000001</v>
      </c>
      <c r="N41" s="73">
        <v>8233.7593772914443</v>
      </c>
      <c r="O41" s="73">
        <f t="shared" si="2"/>
        <v>141.9665080063501</v>
      </c>
      <c r="P41" s="73">
        <v>8055.5075368464359</v>
      </c>
      <c r="Q41" s="73">
        <f t="shared" si="3"/>
        <v>97.835109914231595</v>
      </c>
      <c r="R41" s="73">
        <v>7249.9567831617924</v>
      </c>
      <c r="S41" s="73">
        <v>7249.9567831617924</v>
      </c>
    </row>
    <row r="42" spans="1:19" ht="30">
      <c r="A42" s="68">
        <v>33</v>
      </c>
      <c r="B42" s="69" t="s">
        <v>191</v>
      </c>
      <c r="C42" s="135"/>
      <c r="D42" s="69" t="s">
        <v>218</v>
      </c>
      <c r="E42" s="76" t="s">
        <v>193</v>
      </c>
      <c r="F42" s="71">
        <v>3219</v>
      </c>
      <c r="G42" s="71">
        <v>0</v>
      </c>
      <c r="H42" s="74">
        <f t="shared" si="0"/>
        <v>0</v>
      </c>
      <c r="I42" s="72">
        <v>0</v>
      </c>
      <c r="J42" s="75" t="s">
        <v>39</v>
      </c>
      <c r="K42" s="72">
        <v>0</v>
      </c>
      <c r="L42" s="72">
        <v>0</v>
      </c>
      <c r="M42" s="73">
        <v>779.81409999999994</v>
      </c>
      <c r="N42" s="73">
        <v>0</v>
      </c>
      <c r="O42" s="73">
        <f t="shared" si="2"/>
        <v>0</v>
      </c>
      <c r="P42" s="73">
        <v>0</v>
      </c>
      <c r="Q42" s="73" t="s">
        <v>39</v>
      </c>
      <c r="R42" s="73">
        <v>0</v>
      </c>
      <c r="S42" s="73">
        <v>0</v>
      </c>
    </row>
    <row r="43" spans="1:19" ht="60">
      <c r="A43" s="68">
        <v>34</v>
      </c>
      <c r="B43" s="69" t="s">
        <v>200</v>
      </c>
      <c r="C43" s="135"/>
      <c r="D43" s="69" t="s">
        <v>218</v>
      </c>
      <c r="E43" s="76" t="s">
        <v>193</v>
      </c>
      <c r="F43" s="71">
        <v>7955</v>
      </c>
      <c r="G43" s="71">
        <v>10422</v>
      </c>
      <c r="H43" s="74">
        <f t="shared" si="0"/>
        <v>131.01194217473287</v>
      </c>
      <c r="I43" s="72">
        <v>10422</v>
      </c>
      <c r="J43" s="75">
        <f t="shared" si="1"/>
        <v>100</v>
      </c>
      <c r="K43" s="72">
        <v>10422</v>
      </c>
      <c r="L43" s="72">
        <v>10422</v>
      </c>
      <c r="M43" s="73">
        <v>3048.4944100000002</v>
      </c>
      <c r="N43" s="73">
        <v>3938.618159489004</v>
      </c>
      <c r="O43" s="73">
        <f t="shared" si="2"/>
        <v>129.19879880931137</v>
      </c>
      <c r="P43" s="73">
        <v>3853.3514054379525</v>
      </c>
      <c r="Q43" s="73">
        <f t="shared" si="3"/>
        <v>97.835109914231595</v>
      </c>
      <c r="R43" s="73">
        <v>3468.0162648941573</v>
      </c>
      <c r="S43" s="73">
        <v>3468.0162648941573</v>
      </c>
    </row>
    <row r="44" spans="1:19" ht="45">
      <c r="A44" s="68">
        <v>35</v>
      </c>
      <c r="B44" s="69" t="s">
        <v>195</v>
      </c>
      <c r="C44" s="135"/>
      <c r="D44" s="69" t="s">
        <v>160</v>
      </c>
      <c r="E44" s="70" t="s">
        <v>182</v>
      </c>
      <c r="F44" s="71">
        <v>263</v>
      </c>
      <c r="G44" s="71">
        <v>261</v>
      </c>
      <c r="H44" s="74">
        <f t="shared" si="0"/>
        <v>99.239543726235752</v>
      </c>
      <c r="I44" s="72">
        <v>261</v>
      </c>
      <c r="J44" s="75">
        <f t="shared" si="1"/>
        <v>100</v>
      </c>
      <c r="K44" s="72">
        <v>261</v>
      </c>
      <c r="L44" s="72">
        <v>261</v>
      </c>
      <c r="M44" s="73">
        <v>3081.26935</v>
      </c>
      <c r="N44" s="73">
        <v>3815.3268862685295</v>
      </c>
      <c r="O44" s="73">
        <f t="shared" si="2"/>
        <v>123.82321870915081</v>
      </c>
      <c r="P44" s="73">
        <v>3732.7292527680461</v>
      </c>
      <c r="Q44" s="73">
        <f t="shared" si="3"/>
        <v>97.835109914231595</v>
      </c>
      <c r="R44" s="73">
        <v>3359.4563274912416</v>
      </c>
      <c r="S44" s="73">
        <v>3359.4563274912416</v>
      </c>
    </row>
    <row r="45" spans="1:19" ht="62.25" customHeight="1">
      <c r="A45" s="68">
        <v>36</v>
      </c>
      <c r="B45" s="69" t="s">
        <v>196</v>
      </c>
      <c r="C45" s="135"/>
      <c r="D45" s="69" t="s">
        <v>160</v>
      </c>
      <c r="E45" s="70" t="s">
        <v>182</v>
      </c>
      <c r="F45" s="71">
        <v>1532</v>
      </c>
      <c r="G45" s="71">
        <v>1269</v>
      </c>
      <c r="H45" s="74">
        <f t="shared" si="0"/>
        <v>82.832898172323752</v>
      </c>
      <c r="I45" s="72">
        <v>1269</v>
      </c>
      <c r="J45" s="75">
        <f t="shared" si="1"/>
        <v>100</v>
      </c>
      <c r="K45" s="72">
        <v>1269</v>
      </c>
      <c r="L45" s="72">
        <v>1269</v>
      </c>
      <c r="M45" s="73">
        <v>2978.7372700000001</v>
      </c>
      <c r="N45" s="73">
        <v>3117.204668252883</v>
      </c>
      <c r="O45" s="73">
        <f t="shared" si="2"/>
        <v>104.64852673135832</v>
      </c>
      <c r="P45" s="73">
        <v>3049.7206134367666</v>
      </c>
      <c r="Q45" s="73">
        <f t="shared" si="3"/>
        <v>97.835109914231595</v>
      </c>
      <c r="R45" s="73">
        <v>2744.74855209309</v>
      </c>
      <c r="S45" s="73">
        <v>2744.74855209309</v>
      </c>
    </row>
    <row r="46" spans="1:19" ht="48" customHeight="1">
      <c r="A46" s="68">
        <v>37</v>
      </c>
      <c r="B46" s="69" t="s">
        <v>219</v>
      </c>
      <c r="C46" s="135"/>
      <c r="D46" s="69" t="s">
        <v>220</v>
      </c>
      <c r="E46" s="70" t="s">
        <v>182</v>
      </c>
      <c r="F46" s="71">
        <v>121</v>
      </c>
      <c r="G46" s="71">
        <v>119</v>
      </c>
      <c r="H46" s="74">
        <f t="shared" si="0"/>
        <v>98.347107438016536</v>
      </c>
      <c r="I46" s="72">
        <v>119</v>
      </c>
      <c r="J46" s="75">
        <f t="shared" si="1"/>
        <v>100</v>
      </c>
      <c r="K46" s="72">
        <v>119</v>
      </c>
      <c r="L46" s="72">
        <v>119</v>
      </c>
      <c r="M46" s="73">
        <v>6882.33385</v>
      </c>
      <c r="N46" s="73">
        <v>4548.8248079285004</v>
      </c>
      <c r="O46" s="73">
        <f t="shared" si="2"/>
        <v>66.094219011600259</v>
      </c>
      <c r="P46" s="73">
        <v>4450.3477506426825</v>
      </c>
      <c r="Q46" s="73">
        <f t="shared" si="3"/>
        <v>97.835109914231595</v>
      </c>
      <c r="R46" s="73">
        <v>4005.3129755784144</v>
      </c>
      <c r="S46" s="73">
        <v>4005.3129755784144</v>
      </c>
    </row>
    <row r="47" spans="1:19" ht="63" customHeight="1">
      <c r="A47" s="68">
        <v>38</v>
      </c>
      <c r="B47" s="69" t="s">
        <v>221</v>
      </c>
      <c r="C47" s="135"/>
      <c r="D47" s="69" t="s">
        <v>222</v>
      </c>
      <c r="E47" s="70" t="s">
        <v>182</v>
      </c>
      <c r="F47" s="71">
        <v>121</v>
      </c>
      <c r="G47" s="71">
        <v>119</v>
      </c>
      <c r="H47" s="74">
        <f t="shared" si="0"/>
        <v>98.347107438016536</v>
      </c>
      <c r="I47" s="72">
        <v>119</v>
      </c>
      <c r="J47" s="75">
        <f t="shared" si="1"/>
        <v>100</v>
      </c>
      <c r="K47" s="72">
        <v>119</v>
      </c>
      <c r="L47" s="72">
        <v>119</v>
      </c>
      <c r="M47" s="73">
        <v>63517.381420000005</v>
      </c>
      <c r="N47" s="73">
        <v>81774.222240001312</v>
      </c>
      <c r="O47" s="73">
        <f t="shared" si="2"/>
        <v>128.74306278352446</v>
      </c>
      <c r="P47" s="73">
        <v>80003.900210013308</v>
      </c>
      <c r="Q47" s="73">
        <f t="shared" si="3"/>
        <v>97.835109914231595</v>
      </c>
      <c r="R47" s="73">
        <v>72003.510189011984</v>
      </c>
      <c r="S47" s="73">
        <v>72003.510189011984</v>
      </c>
    </row>
    <row r="48" spans="1:19" ht="75">
      <c r="A48" s="68">
        <v>39</v>
      </c>
      <c r="B48" s="69" t="s">
        <v>223</v>
      </c>
      <c r="C48" s="135"/>
      <c r="D48" s="69" t="s">
        <v>222</v>
      </c>
      <c r="E48" s="70" t="s">
        <v>182</v>
      </c>
      <c r="F48" s="72">
        <v>3</v>
      </c>
      <c r="G48" s="71">
        <v>11</v>
      </c>
      <c r="H48" s="74">
        <f t="shared" si="0"/>
        <v>366.66666666666663</v>
      </c>
      <c r="I48" s="72">
        <v>11</v>
      </c>
      <c r="J48" s="75">
        <f t="shared" si="1"/>
        <v>100</v>
      </c>
      <c r="K48" s="72">
        <v>11</v>
      </c>
      <c r="L48" s="72">
        <v>11</v>
      </c>
      <c r="M48" s="73">
        <v>910.4485699999999</v>
      </c>
      <c r="N48" s="73">
        <v>1542.753295660501</v>
      </c>
      <c r="O48" s="73">
        <f t="shared" si="2"/>
        <v>169.44980161378044</v>
      </c>
      <c r="P48" s="73">
        <v>1509.3543825148815</v>
      </c>
      <c r="Q48" s="73">
        <f t="shared" si="3"/>
        <v>97.835109914231595</v>
      </c>
      <c r="R48" s="73">
        <v>1358.4189442633933</v>
      </c>
      <c r="S48" s="73">
        <v>1358.4189442633933</v>
      </c>
    </row>
    <row r="49" spans="1:19" ht="45.75" customHeight="1">
      <c r="A49" s="68">
        <v>40</v>
      </c>
      <c r="B49" s="69" t="s">
        <v>224</v>
      </c>
      <c r="C49" s="135"/>
      <c r="D49" s="69" t="s">
        <v>222</v>
      </c>
      <c r="E49" s="70" t="s">
        <v>182</v>
      </c>
      <c r="F49" s="71">
        <v>121</v>
      </c>
      <c r="G49" s="71">
        <v>119</v>
      </c>
      <c r="H49" s="74">
        <f t="shared" si="0"/>
        <v>98.347107438016536</v>
      </c>
      <c r="I49" s="72">
        <v>119</v>
      </c>
      <c r="J49" s="75">
        <f t="shared" si="1"/>
        <v>100</v>
      </c>
      <c r="K49" s="72">
        <v>119</v>
      </c>
      <c r="L49" s="72">
        <v>119</v>
      </c>
      <c r="M49" s="73">
        <v>11577.50381</v>
      </c>
      <c r="N49" s="73">
        <v>8475.8953607062722</v>
      </c>
      <c r="O49" s="73">
        <f t="shared" si="2"/>
        <v>73.210041644601048</v>
      </c>
      <c r="P49" s="73">
        <v>8292.4015423622386</v>
      </c>
      <c r="Q49" s="73">
        <f t="shared" si="3"/>
        <v>97.835109914231595</v>
      </c>
      <c r="R49" s="73">
        <v>7463.1613881260146</v>
      </c>
      <c r="S49" s="73">
        <v>7463.1613881260146</v>
      </c>
    </row>
    <row r="50" spans="1:19" ht="30">
      <c r="A50" s="68">
        <v>41</v>
      </c>
      <c r="B50" s="69" t="s">
        <v>225</v>
      </c>
      <c r="C50" s="135"/>
      <c r="D50" s="69" t="s">
        <v>160</v>
      </c>
      <c r="E50" s="70" t="s">
        <v>182</v>
      </c>
      <c r="F50" s="71">
        <v>1652</v>
      </c>
      <c r="G50" s="71">
        <v>1680</v>
      </c>
      <c r="H50" s="74">
        <f t="shared" si="0"/>
        <v>101.69491525423729</v>
      </c>
      <c r="I50" s="72">
        <v>1680</v>
      </c>
      <c r="J50" s="75">
        <f t="shared" si="1"/>
        <v>100</v>
      </c>
      <c r="K50" s="72">
        <v>1680</v>
      </c>
      <c r="L50" s="72">
        <v>1680</v>
      </c>
      <c r="M50" s="73">
        <v>7642.4435800000001</v>
      </c>
      <c r="N50" s="73">
        <v>6271.808900671218</v>
      </c>
      <c r="O50" s="73">
        <f t="shared" si="2"/>
        <v>82.065491684941136</v>
      </c>
      <c r="P50" s="73">
        <v>6136.0311315822464</v>
      </c>
      <c r="Q50" s="73">
        <f t="shared" si="3"/>
        <v>97.835109914231595</v>
      </c>
      <c r="R50" s="73">
        <v>5522.4280184240215</v>
      </c>
      <c r="S50" s="73">
        <v>5522.4280184240215</v>
      </c>
    </row>
    <row r="51" spans="1:19" ht="90">
      <c r="A51" s="68">
        <v>42</v>
      </c>
      <c r="B51" s="69" t="s">
        <v>226</v>
      </c>
      <c r="C51" s="135"/>
      <c r="D51" s="69" t="s">
        <v>222</v>
      </c>
      <c r="E51" s="70" t="s">
        <v>182</v>
      </c>
      <c r="F51" s="71">
        <v>65</v>
      </c>
      <c r="G51" s="71">
        <v>65</v>
      </c>
      <c r="H51" s="74">
        <f t="shared" si="0"/>
        <v>100</v>
      </c>
      <c r="I51" s="72">
        <v>65</v>
      </c>
      <c r="J51" s="75">
        <f t="shared" si="1"/>
        <v>100</v>
      </c>
      <c r="K51" s="72">
        <v>65</v>
      </c>
      <c r="L51" s="72">
        <v>65</v>
      </c>
      <c r="M51" s="73">
        <v>3267.3286200000002</v>
      </c>
      <c r="N51" s="73">
        <v>1701.4255245217746</v>
      </c>
      <c r="O51" s="73">
        <f t="shared" si="2"/>
        <v>52.073902640432124</v>
      </c>
      <c r="P51" s="73">
        <v>1664.5915320246697</v>
      </c>
      <c r="Q51" s="73">
        <f t="shared" si="3"/>
        <v>97.835109914231595</v>
      </c>
      <c r="R51" s="73">
        <v>1498.1323788222028</v>
      </c>
      <c r="S51" s="73">
        <v>1498.1323788222028</v>
      </c>
    </row>
    <row r="52" spans="1:19" ht="105">
      <c r="A52" s="68">
        <v>43</v>
      </c>
      <c r="B52" s="69" t="s">
        <v>227</v>
      </c>
      <c r="C52" s="135"/>
      <c r="D52" s="69" t="s">
        <v>228</v>
      </c>
      <c r="E52" s="70" t="s">
        <v>182</v>
      </c>
      <c r="F52" s="71">
        <v>360</v>
      </c>
      <c r="G52" s="71">
        <v>355</v>
      </c>
      <c r="H52" s="74">
        <f t="shared" si="0"/>
        <v>98.611111111111114</v>
      </c>
      <c r="I52" s="72">
        <v>355</v>
      </c>
      <c r="J52" s="75">
        <f t="shared" si="1"/>
        <v>100</v>
      </c>
      <c r="K52" s="72">
        <v>355</v>
      </c>
      <c r="L52" s="72">
        <v>355</v>
      </c>
      <c r="M52" s="73">
        <v>3505.3090499999998</v>
      </c>
      <c r="N52" s="73">
        <v>3203.6352182053242</v>
      </c>
      <c r="O52" s="73">
        <f t="shared" si="2"/>
        <v>91.393802158623487</v>
      </c>
      <c r="P52" s="73">
        <v>3134.2800369822121</v>
      </c>
      <c r="Q52" s="73">
        <f t="shared" si="3"/>
        <v>97.835109914231595</v>
      </c>
      <c r="R52" s="73">
        <v>2820.8520332839907</v>
      </c>
      <c r="S52" s="73">
        <v>2820.8520332839907</v>
      </c>
    </row>
    <row r="53" spans="1:19" ht="60">
      <c r="A53" s="68">
        <v>44</v>
      </c>
      <c r="B53" s="69" t="s">
        <v>229</v>
      </c>
      <c r="C53" s="135"/>
      <c r="D53" s="69" t="s">
        <v>222</v>
      </c>
      <c r="E53" s="70" t="s">
        <v>182</v>
      </c>
      <c r="F53" s="71">
        <v>128</v>
      </c>
      <c r="G53" s="71">
        <v>130</v>
      </c>
      <c r="H53" s="74">
        <f t="shared" si="0"/>
        <v>101.5625</v>
      </c>
      <c r="I53" s="72">
        <v>130</v>
      </c>
      <c r="J53" s="75">
        <f t="shared" si="1"/>
        <v>100</v>
      </c>
      <c r="K53" s="72">
        <v>130</v>
      </c>
      <c r="L53" s="72">
        <v>130</v>
      </c>
      <c r="M53" s="73">
        <v>2899.8950099999997</v>
      </c>
      <c r="N53" s="73">
        <v>3217.4379660443337</v>
      </c>
      <c r="O53" s="73">
        <f t="shared" si="2"/>
        <v>110.95015353829427</v>
      </c>
      <c r="P53" s="73">
        <v>3147.7839705016913</v>
      </c>
      <c r="Q53" s="73">
        <f t="shared" si="3"/>
        <v>97.835109914231595</v>
      </c>
      <c r="R53" s="73">
        <v>2833.0055734515222</v>
      </c>
      <c r="S53" s="73">
        <v>2833.0055734515222</v>
      </c>
    </row>
    <row r="54" spans="1:19" ht="45">
      <c r="A54" s="68">
        <v>45</v>
      </c>
      <c r="B54" s="69" t="s">
        <v>230</v>
      </c>
      <c r="C54" s="135"/>
      <c r="D54" s="69" t="s">
        <v>231</v>
      </c>
      <c r="E54" s="70" t="s">
        <v>182</v>
      </c>
      <c r="F54" s="71">
        <v>24</v>
      </c>
      <c r="G54" s="71">
        <v>14</v>
      </c>
      <c r="H54" s="74">
        <f t="shared" si="0"/>
        <v>58.333333333333336</v>
      </c>
      <c r="I54" s="72">
        <v>14</v>
      </c>
      <c r="J54" s="75">
        <f t="shared" si="1"/>
        <v>100</v>
      </c>
      <c r="K54" s="72">
        <v>14</v>
      </c>
      <c r="L54" s="72">
        <v>14</v>
      </c>
      <c r="M54" s="73">
        <v>1785.9917399999999</v>
      </c>
      <c r="N54" s="73">
        <v>1865.2298696779828</v>
      </c>
      <c r="O54" s="73">
        <f t="shared" si="2"/>
        <v>104.4366459207691</v>
      </c>
      <c r="P54" s="73">
        <v>1824.8496931525333</v>
      </c>
      <c r="Q54" s="73">
        <f t="shared" si="3"/>
        <v>97.835109914231595</v>
      </c>
      <c r="R54" s="73">
        <v>1642.3647238372801</v>
      </c>
      <c r="S54" s="73">
        <v>1642.3647238372801</v>
      </c>
    </row>
    <row r="55" spans="1:19" ht="90">
      <c r="A55" s="68">
        <v>46</v>
      </c>
      <c r="B55" s="69" t="s">
        <v>232</v>
      </c>
      <c r="C55" s="135"/>
      <c r="D55" s="69" t="s">
        <v>233</v>
      </c>
      <c r="E55" s="70" t="s">
        <v>182</v>
      </c>
      <c r="F55" s="78">
        <v>1911</v>
      </c>
      <c r="G55" s="71">
        <v>1923</v>
      </c>
      <c r="H55" s="74">
        <f t="shared" si="0"/>
        <v>100.62794348508635</v>
      </c>
      <c r="I55" s="72">
        <v>1923</v>
      </c>
      <c r="J55" s="75">
        <f t="shared" si="1"/>
        <v>100</v>
      </c>
      <c r="K55" s="72">
        <v>1923</v>
      </c>
      <c r="L55" s="72">
        <v>1923</v>
      </c>
      <c r="M55" s="73">
        <v>163269.01095</v>
      </c>
      <c r="N55" s="73">
        <v>172583.39548442699</v>
      </c>
      <c r="O55" s="73">
        <f t="shared" si="2"/>
        <v>105.70493107064847</v>
      </c>
      <c r="P55" s="73">
        <v>189596.0623556427</v>
      </c>
      <c r="Q55" s="73">
        <f t="shared" si="3"/>
        <v>109.857649876144</v>
      </c>
      <c r="R55" s="73">
        <v>170636.45612007842</v>
      </c>
      <c r="S55" s="73">
        <v>170636.45612007842</v>
      </c>
    </row>
    <row r="56" spans="1:19" ht="75">
      <c r="A56" s="68">
        <v>47</v>
      </c>
      <c r="B56" s="69" t="s">
        <v>234</v>
      </c>
      <c r="C56" s="135"/>
      <c r="D56" s="69" t="s">
        <v>233</v>
      </c>
      <c r="E56" s="70" t="s">
        <v>182</v>
      </c>
      <c r="F56" s="78">
        <v>5940</v>
      </c>
      <c r="G56" s="71">
        <v>5993</v>
      </c>
      <c r="H56" s="74">
        <f t="shared" si="0"/>
        <v>100.8922558922559</v>
      </c>
      <c r="I56" s="72">
        <v>5993</v>
      </c>
      <c r="J56" s="75">
        <f t="shared" si="1"/>
        <v>100</v>
      </c>
      <c r="K56" s="72">
        <v>5993</v>
      </c>
      <c r="L56" s="72">
        <v>5993</v>
      </c>
      <c r="M56" s="73">
        <v>346334.48888000002</v>
      </c>
      <c r="N56" s="73">
        <v>367118.38175428496</v>
      </c>
      <c r="O56" s="73">
        <f t="shared" si="2"/>
        <v>106.00110400252004</v>
      </c>
      <c r="P56" s="73">
        <v>403307.62645858806</v>
      </c>
      <c r="Q56" s="73">
        <f t="shared" si="3"/>
        <v>109.857649876144</v>
      </c>
      <c r="R56" s="73">
        <v>362976.86381272925</v>
      </c>
      <c r="S56" s="73">
        <v>362976.86381272925</v>
      </c>
    </row>
    <row r="57" spans="1:19" ht="75">
      <c r="A57" s="68">
        <v>48</v>
      </c>
      <c r="B57" s="69" t="s">
        <v>235</v>
      </c>
      <c r="C57" s="135"/>
      <c r="D57" s="69" t="s">
        <v>233</v>
      </c>
      <c r="E57" s="70" t="s">
        <v>182</v>
      </c>
      <c r="F57" s="78">
        <v>1180</v>
      </c>
      <c r="G57" s="71">
        <v>1101</v>
      </c>
      <c r="H57" s="74">
        <f t="shared" si="0"/>
        <v>93.305084745762713</v>
      </c>
      <c r="I57" s="72">
        <v>1101</v>
      </c>
      <c r="J57" s="75">
        <f t="shared" si="1"/>
        <v>100</v>
      </c>
      <c r="K57" s="72">
        <v>1101</v>
      </c>
      <c r="L57" s="72">
        <v>1101</v>
      </c>
      <c r="M57" s="73">
        <v>49220.912469999996</v>
      </c>
      <c r="N57" s="73">
        <v>41573.075215759382</v>
      </c>
      <c r="O57" s="73">
        <f t="shared" si="2"/>
        <v>84.462219673595143</v>
      </c>
      <c r="P57" s="73">
        <v>45671.203413274932</v>
      </c>
      <c r="Q57" s="73">
        <f t="shared" si="3"/>
        <v>109.857649876144</v>
      </c>
      <c r="R57" s="73">
        <v>41104.08307194744</v>
      </c>
      <c r="S57" s="73">
        <v>41104.08307194744</v>
      </c>
    </row>
    <row r="58" spans="1:19" ht="105">
      <c r="A58" s="68">
        <v>49</v>
      </c>
      <c r="B58" s="69" t="s">
        <v>236</v>
      </c>
      <c r="C58" s="135"/>
      <c r="D58" s="69" t="s">
        <v>207</v>
      </c>
      <c r="E58" s="70" t="s">
        <v>237</v>
      </c>
      <c r="F58" s="78">
        <v>124722</v>
      </c>
      <c r="G58" s="71">
        <v>82350</v>
      </c>
      <c r="H58" s="74">
        <f t="shared" si="0"/>
        <v>66.026843700389676</v>
      </c>
      <c r="I58" s="72">
        <v>82350</v>
      </c>
      <c r="J58" s="75">
        <f t="shared" si="1"/>
        <v>100</v>
      </c>
      <c r="K58" s="72">
        <v>82350</v>
      </c>
      <c r="L58" s="72">
        <v>82350</v>
      </c>
      <c r="M58" s="73">
        <v>10671.182500000001</v>
      </c>
      <c r="N58" s="73">
        <v>12962.483250249108</v>
      </c>
      <c r="O58" s="73">
        <f t="shared" si="2"/>
        <v>121.47185422280151</v>
      </c>
      <c r="P58" s="73">
        <v>14240.279464312474</v>
      </c>
      <c r="Q58" s="73">
        <f t="shared" si="3"/>
        <v>109.857649876144</v>
      </c>
      <c r="R58" s="73">
        <v>12816.251517881226</v>
      </c>
      <c r="S58" s="73">
        <v>12816.251517881226</v>
      </c>
    </row>
    <row r="59" spans="1:19" ht="135">
      <c r="A59" s="68">
        <v>50</v>
      </c>
      <c r="B59" s="69" t="s">
        <v>238</v>
      </c>
      <c r="C59" s="135"/>
      <c r="D59" s="69" t="s">
        <v>207</v>
      </c>
      <c r="E59" s="70" t="s">
        <v>237</v>
      </c>
      <c r="F59" s="78">
        <v>339939</v>
      </c>
      <c r="G59" s="71">
        <v>320897</v>
      </c>
      <c r="H59" s="74">
        <f t="shared" si="0"/>
        <v>94.398406772979854</v>
      </c>
      <c r="I59" s="72">
        <v>320897</v>
      </c>
      <c r="J59" s="75">
        <f t="shared" si="1"/>
        <v>100</v>
      </c>
      <c r="K59" s="72">
        <v>320897</v>
      </c>
      <c r="L59" s="72">
        <v>320897</v>
      </c>
      <c r="M59" s="73">
        <v>51329.249409999997</v>
      </c>
      <c r="N59" s="73">
        <v>55518.1022377302</v>
      </c>
      <c r="O59" s="73">
        <f t="shared" si="2"/>
        <v>108.16075215569805</v>
      </c>
      <c r="P59" s="73">
        <v>60990.882374205306</v>
      </c>
      <c r="Q59" s="73">
        <f t="shared" si="3"/>
        <v>109.857649876144</v>
      </c>
      <c r="R59" s="73">
        <v>54891.794136784774</v>
      </c>
      <c r="S59" s="73">
        <v>54891.794136784774</v>
      </c>
    </row>
    <row r="60" spans="1:19" ht="105">
      <c r="A60" s="68">
        <v>51</v>
      </c>
      <c r="B60" s="69" t="s">
        <v>239</v>
      </c>
      <c r="C60" s="135"/>
      <c r="D60" s="69" t="s">
        <v>207</v>
      </c>
      <c r="E60" s="70" t="s">
        <v>237</v>
      </c>
      <c r="F60" s="78">
        <v>288450</v>
      </c>
      <c r="G60" s="71">
        <v>225875</v>
      </c>
      <c r="H60" s="74">
        <f t="shared" si="0"/>
        <v>78.306465591957007</v>
      </c>
      <c r="I60" s="72">
        <v>225875</v>
      </c>
      <c r="J60" s="75">
        <f t="shared" si="1"/>
        <v>100</v>
      </c>
      <c r="K60" s="72">
        <v>225875</v>
      </c>
      <c r="L60" s="72">
        <v>225875</v>
      </c>
      <c r="M60" s="73">
        <v>17665.089680000001</v>
      </c>
      <c r="N60" s="73">
        <v>18208.614525515601</v>
      </c>
      <c r="O60" s="73">
        <f t="shared" si="2"/>
        <v>103.0768303776627</v>
      </c>
      <c r="P60" s="73">
        <v>20003.555992737627</v>
      </c>
      <c r="Q60" s="73">
        <f t="shared" si="3"/>
        <v>109.857649876144</v>
      </c>
      <c r="R60" s="73">
        <v>18003.200393463863</v>
      </c>
      <c r="S60" s="73">
        <v>18003.200393463863</v>
      </c>
    </row>
    <row r="61" spans="1:19" ht="30">
      <c r="A61" s="68">
        <v>52</v>
      </c>
      <c r="B61" s="77" t="s">
        <v>240</v>
      </c>
      <c r="C61" s="135"/>
      <c r="D61" s="69" t="s">
        <v>207</v>
      </c>
      <c r="E61" s="70" t="s">
        <v>237</v>
      </c>
      <c r="F61" s="78">
        <v>0</v>
      </c>
      <c r="G61" s="71">
        <v>91124</v>
      </c>
      <c r="H61" s="74" t="s">
        <v>39</v>
      </c>
      <c r="I61" s="72">
        <v>91124</v>
      </c>
      <c r="J61" s="75">
        <f t="shared" si="1"/>
        <v>100</v>
      </c>
      <c r="K61" s="72">
        <v>91124</v>
      </c>
      <c r="L61" s="72">
        <v>91124</v>
      </c>
      <c r="M61" s="73">
        <v>0</v>
      </c>
      <c r="N61" s="73">
        <v>3001.7845320341657</v>
      </c>
      <c r="O61" s="73" t="s">
        <v>39</v>
      </c>
      <c r="P61" s="73">
        <v>3297.6899412383414</v>
      </c>
      <c r="Q61" s="73">
        <f t="shared" si="3"/>
        <v>109.857649876144</v>
      </c>
      <c r="R61" s="73">
        <v>2967.9209471145073</v>
      </c>
      <c r="S61" s="73">
        <v>2967.9209471145073</v>
      </c>
    </row>
    <row r="62" spans="1:19" ht="45">
      <c r="A62" s="68">
        <v>53</v>
      </c>
      <c r="B62" s="69" t="s">
        <v>241</v>
      </c>
      <c r="C62" s="135"/>
      <c r="D62" s="69" t="s">
        <v>207</v>
      </c>
      <c r="E62" s="70" t="s">
        <v>193</v>
      </c>
      <c r="F62" s="71">
        <v>104400</v>
      </c>
      <c r="G62" s="71">
        <v>64800</v>
      </c>
      <c r="H62" s="74">
        <f t="shared" si="0"/>
        <v>62.068965517241381</v>
      </c>
      <c r="I62" s="72">
        <v>64800</v>
      </c>
      <c r="J62" s="75">
        <f t="shared" si="1"/>
        <v>100</v>
      </c>
      <c r="K62" s="72">
        <v>64800</v>
      </c>
      <c r="L62" s="72">
        <v>64800</v>
      </c>
      <c r="M62" s="73">
        <v>9153.4246999999996</v>
      </c>
      <c r="N62" s="73">
        <v>6259.1951406015705</v>
      </c>
      <c r="O62" s="73">
        <f t="shared" si="2"/>
        <v>68.380910377747156</v>
      </c>
      <c r="P62" s="73">
        <v>6454.2670649549609</v>
      </c>
      <c r="Q62" s="73">
        <f t="shared" si="3"/>
        <v>103.116565628191</v>
      </c>
      <c r="R62" s="73">
        <v>5808.8403584594653</v>
      </c>
      <c r="S62" s="73">
        <v>5808.8403584594653</v>
      </c>
    </row>
    <row r="63" spans="1:19" ht="60">
      <c r="A63" s="68">
        <v>54</v>
      </c>
      <c r="B63" s="69" t="s">
        <v>242</v>
      </c>
      <c r="C63" s="135"/>
      <c r="D63" s="69" t="s">
        <v>207</v>
      </c>
      <c r="E63" s="70" t="s">
        <v>193</v>
      </c>
      <c r="F63" s="71">
        <v>25200</v>
      </c>
      <c r="G63" s="71">
        <v>64800</v>
      </c>
      <c r="H63" s="74">
        <f t="shared" si="0"/>
        <v>257.14285714285717</v>
      </c>
      <c r="I63" s="72">
        <v>64800</v>
      </c>
      <c r="J63" s="75">
        <f t="shared" si="1"/>
        <v>100</v>
      </c>
      <c r="K63" s="72">
        <v>64800</v>
      </c>
      <c r="L63" s="72">
        <v>64800</v>
      </c>
      <c r="M63" s="73">
        <v>2288.35617</v>
      </c>
      <c r="N63" s="73">
        <v>5874.5951406015674</v>
      </c>
      <c r="O63" s="73">
        <f t="shared" si="2"/>
        <v>256.71681784577999</v>
      </c>
      <c r="P63" s="73">
        <v>6057.6807535489352</v>
      </c>
      <c r="Q63" s="73">
        <f t="shared" si="3"/>
        <v>103.116565628191</v>
      </c>
      <c r="R63" s="73">
        <v>5451.9126781940422</v>
      </c>
      <c r="S63" s="73">
        <v>5451.9126781940422</v>
      </c>
    </row>
    <row r="64" spans="1:19" ht="75">
      <c r="A64" s="68">
        <v>55</v>
      </c>
      <c r="B64" s="69" t="s">
        <v>243</v>
      </c>
      <c r="C64" s="135"/>
      <c r="D64" s="69" t="s">
        <v>207</v>
      </c>
      <c r="E64" s="70" t="s">
        <v>193</v>
      </c>
      <c r="F64" s="71">
        <v>9016</v>
      </c>
      <c r="G64" s="71">
        <v>9000</v>
      </c>
      <c r="H64" s="74">
        <f t="shared" si="0"/>
        <v>99.822537710736469</v>
      </c>
      <c r="I64" s="72">
        <v>9000</v>
      </c>
      <c r="J64" s="75">
        <f t="shared" si="1"/>
        <v>100</v>
      </c>
      <c r="K64" s="72">
        <v>9000</v>
      </c>
      <c r="L64" s="72">
        <v>9000</v>
      </c>
      <c r="M64" s="73">
        <v>267.94102000000004</v>
      </c>
      <c r="N64" s="73">
        <v>272.12464171648509</v>
      </c>
      <c r="O64" s="73">
        <f t="shared" si="2"/>
        <v>101.56139650303825</v>
      </c>
      <c r="P64" s="73">
        <v>280.605584766059</v>
      </c>
      <c r="Q64" s="73">
        <f t="shared" si="3"/>
        <v>103.116565628191</v>
      </c>
      <c r="R64" s="73">
        <v>252.54502628945309</v>
      </c>
      <c r="S64" s="73">
        <v>252.54502628945309</v>
      </c>
    </row>
    <row r="65" spans="1:19" ht="45">
      <c r="A65" s="68">
        <v>56</v>
      </c>
      <c r="B65" s="69" t="s">
        <v>244</v>
      </c>
      <c r="C65" s="135"/>
      <c r="D65" s="69" t="s">
        <v>207</v>
      </c>
      <c r="E65" s="70" t="s">
        <v>193</v>
      </c>
      <c r="F65" s="71">
        <v>11924</v>
      </c>
      <c r="G65" s="71">
        <v>11700</v>
      </c>
      <c r="H65" s="74">
        <f t="shared" si="0"/>
        <v>98.121435759812144</v>
      </c>
      <c r="I65" s="72">
        <v>11700</v>
      </c>
      <c r="J65" s="75">
        <f t="shared" si="1"/>
        <v>100</v>
      </c>
      <c r="K65" s="72">
        <v>11700</v>
      </c>
      <c r="L65" s="72">
        <v>11700</v>
      </c>
      <c r="M65" s="73">
        <v>401.91153000000003</v>
      </c>
      <c r="N65" s="73">
        <v>453.5410695274752</v>
      </c>
      <c r="O65" s="73">
        <f t="shared" si="2"/>
        <v>112.84599611448698</v>
      </c>
      <c r="P65" s="73">
        <v>467.67597461009836</v>
      </c>
      <c r="Q65" s="73">
        <f t="shared" si="3"/>
        <v>103.116565628191</v>
      </c>
      <c r="R65" s="73">
        <v>420.90837714908855</v>
      </c>
      <c r="S65" s="73">
        <v>420.90837714908855</v>
      </c>
    </row>
    <row r="66" spans="1:19" ht="30">
      <c r="A66" s="68">
        <v>57</v>
      </c>
      <c r="B66" s="69" t="s">
        <v>212</v>
      </c>
      <c r="C66" s="135"/>
      <c r="D66" s="69" t="s">
        <v>175</v>
      </c>
      <c r="E66" s="70" t="s">
        <v>214</v>
      </c>
      <c r="F66" s="71">
        <v>145</v>
      </c>
      <c r="G66" s="71">
        <v>140</v>
      </c>
      <c r="H66" s="74">
        <f t="shared" si="0"/>
        <v>96.551724137931032</v>
      </c>
      <c r="I66" s="72">
        <v>140</v>
      </c>
      <c r="J66" s="75">
        <f t="shared" si="1"/>
        <v>100</v>
      </c>
      <c r="K66" s="72">
        <v>140</v>
      </c>
      <c r="L66" s="72">
        <v>140</v>
      </c>
      <c r="M66" s="73">
        <v>8904.2783600000002</v>
      </c>
      <c r="N66" s="73">
        <v>10922.7646855861</v>
      </c>
      <c r="O66" s="73">
        <f t="shared" si="2"/>
        <v>122.66872444884012</v>
      </c>
      <c r="P66" s="73">
        <v>11263.179815425261</v>
      </c>
      <c r="Q66" s="73">
        <f t="shared" si="3"/>
        <v>103.116565628191</v>
      </c>
      <c r="R66" s="73">
        <v>10136.861833882735</v>
      </c>
      <c r="S66" s="73">
        <v>10136.861833882735</v>
      </c>
    </row>
    <row r="67" spans="1:19" ht="105">
      <c r="A67" s="356">
        <v>58</v>
      </c>
      <c r="B67" s="357" t="s">
        <v>245</v>
      </c>
      <c r="C67" s="135"/>
      <c r="D67" s="69" t="s">
        <v>246</v>
      </c>
      <c r="E67" s="70" t="s">
        <v>247</v>
      </c>
      <c r="F67" s="71">
        <v>300</v>
      </c>
      <c r="G67" s="71">
        <v>100</v>
      </c>
      <c r="H67" s="74">
        <f t="shared" si="0"/>
        <v>33.333333333333329</v>
      </c>
      <c r="I67" s="72">
        <v>100</v>
      </c>
      <c r="J67" s="75">
        <f t="shared" si="1"/>
        <v>100</v>
      </c>
      <c r="K67" s="72">
        <v>100</v>
      </c>
      <c r="L67" s="72">
        <v>100</v>
      </c>
      <c r="M67" s="73">
        <v>500.05329999999998</v>
      </c>
      <c r="N67" s="73">
        <v>100.89978443942333</v>
      </c>
      <c r="O67" s="73">
        <f t="shared" si="2"/>
        <v>20.177805933772127</v>
      </c>
      <c r="P67" s="73">
        <v>104.04439244018121</v>
      </c>
      <c r="Q67" s="73">
        <f t="shared" si="3"/>
        <v>103.116565628191</v>
      </c>
      <c r="R67" s="73">
        <v>93.639953196163091</v>
      </c>
      <c r="S67" s="73">
        <v>93.639953196163091</v>
      </c>
    </row>
    <row r="68" spans="1:19" ht="90">
      <c r="A68" s="356"/>
      <c r="B68" s="359"/>
      <c r="C68" s="135"/>
      <c r="D68" s="69" t="s">
        <v>248</v>
      </c>
      <c r="E68" s="70" t="s">
        <v>249</v>
      </c>
      <c r="F68" s="71">
        <v>1478</v>
      </c>
      <c r="G68" s="71">
        <v>1200</v>
      </c>
      <c r="H68" s="74">
        <f t="shared" si="0"/>
        <v>81.190798376184034</v>
      </c>
      <c r="I68" s="72">
        <v>1200</v>
      </c>
      <c r="J68" s="75">
        <f t="shared" si="1"/>
        <v>100</v>
      </c>
      <c r="K68" s="72">
        <v>1200</v>
      </c>
      <c r="L68" s="72">
        <v>1200</v>
      </c>
      <c r="M68" s="73">
        <v>750.08508999999992</v>
      </c>
      <c r="N68" s="73">
        <v>1210.7989889458959</v>
      </c>
      <c r="O68" s="73">
        <f t="shared" si="2"/>
        <v>161.42155137971025</v>
      </c>
      <c r="P68" s="73">
        <v>1248.5343340618679</v>
      </c>
      <c r="Q68" s="73">
        <f t="shared" si="3"/>
        <v>103.116565628191</v>
      </c>
      <c r="R68" s="73">
        <v>1123.6809006556812</v>
      </c>
      <c r="S68" s="73">
        <v>1123.6809006556812</v>
      </c>
    </row>
    <row r="69" spans="1:19" ht="60">
      <c r="A69" s="68">
        <v>59</v>
      </c>
      <c r="B69" s="69" t="s">
        <v>250</v>
      </c>
      <c r="C69" s="135"/>
      <c r="D69" s="69" t="s">
        <v>251</v>
      </c>
      <c r="E69" s="70" t="s">
        <v>214</v>
      </c>
      <c r="F69" s="71">
        <v>4</v>
      </c>
      <c r="G69" s="71">
        <v>5</v>
      </c>
      <c r="H69" s="74">
        <f t="shared" si="0"/>
        <v>125</v>
      </c>
      <c r="I69" s="72">
        <v>5</v>
      </c>
      <c r="J69" s="75">
        <f t="shared" si="1"/>
        <v>100</v>
      </c>
      <c r="K69" s="72">
        <v>5</v>
      </c>
      <c r="L69" s="72">
        <v>5</v>
      </c>
      <c r="M69" s="73">
        <v>946.74151000000006</v>
      </c>
      <c r="N69" s="73">
        <v>1054.8058044982827</v>
      </c>
      <c r="O69" s="73">
        <f t="shared" si="2"/>
        <v>111.41433996046952</v>
      </c>
      <c r="P69" s="73">
        <v>1087.6795196454398</v>
      </c>
      <c r="Q69" s="73">
        <f t="shared" si="3"/>
        <v>103.116565628191</v>
      </c>
      <c r="R69" s="73">
        <v>978.91156768089581</v>
      </c>
      <c r="S69" s="73">
        <v>978.91156768089581</v>
      </c>
    </row>
    <row r="70" spans="1:19" ht="165.75" customHeight="1">
      <c r="A70" s="68">
        <v>60</v>
      </c>
      <c r="B70" s="69" t="s">
        <v>252</v>
      </c>
      <c r="C70" s="135"/>
      <c r="D70" s="69" t="s">
        <v>175</v>
      </c>
      <c r="E70" s="70" t="s">
        <v>214</v>
      </c>
      <c r="F70" s="71">
        <v>10</v>
      </c>
      <c r="G70" s="71">
        <v>10</v>
      </c>
      <c r="H70" s="74">
        <f t="shared" si="0"/>
        <v>100</v>
      </c>
      <c r="I70" s="72">
        <v>10</v>
      </c>
      <c r="J70" s="75">
        <f t="shared" si="1"/>
        <v>100</v>
      </c>
      <c r="K70" s="72">
        <v>10</v>
      </c>
      <c r="L70" s="72">
        <v>10</v>
      </c>
      <c r="M70" s="73">
        <v>1258.70832</v>
      </c>
      <c r="N70" s="73">
        <v>194.37474408320367</v>
      </c>
      <c r="O70" s="73">
        <f t="shared" si="2"/>
        <v>15.442397654383001</v>
      </c>
      <c r="P70" s="73">
        <v>200.43256054718501</v>
      </c>
      <c r="Q70" s="73">
        <f t="shared" si="3"/>
        <v>103.116565628191</v>
      </c>
      <c r="R70" s="73">
        <v>180.38930449246652</v>
      </c>
      <c r="S70" s="73">
        <v>180.38930449246652</v>
      </c>
    </row>
    <row r="71" spans="1:19" ht="60">
      <c r="A71" s="356">
        <v>61</v>
      </c>
      <c r="B71" s="357" t="s">
        <v>253</v>
      </c>
      <c r="C71" s="135"/>
      <c r="D71" s="69" t="s">
        <v>254</v>
      </c>
      <c r="E71" s="70" t="s">
        <v>267</v>
      </c>
      <c r="F71" s="79">
        <v>10020</v>
      </c>
      <c r="G71" s="71">
        <v>9537</v>
      </c>
      <c r="H71" s="74">
        <f t="shared" si="0"/>
        <v>95.179640718562879</v>
      </c>
      <c r="I71" s="72">
        <v>9537</v>
      </c>
      <c r="J71" s="75">
        <f t="shared" si="1"/>
        <v>100</v>
      </c>
      <c r="K71" s="72">
        <v>9537</v>
      </c>
      <c r="L71" s="72">
        <v>9537</v>
      </c>
      <c r="M71" s="73">
        <v>5109.3280000000004</v>
      </c>
      <c r="N71" s="73">
        <v>5192.4432704004303</v>
      </c>
      <c r="O71" s="73">
        <f t="shared" si="2"/>
        <v>101.62673585255106</v>
      </c>
      <c r="P71" s="73">
        <v>6052.3228298584609</v>
      </c>
      <c r="Q71" s="73">
        <f t="shared" si="3"/>
        <v>116.56021095810101</v>
      </c>
      <c r="R71" s="73">
        <v>5447.0905468726151</v>
      </c>
      <c r="S71" s="73">
        <v>5447.0905468726151</v>
      </c>
    </row>
    <row r="72" spans="1:19" ht="105">
      <c r="A72" s="356"/>
      <c r="B72" s="357"/>
      <c r="C72" s="135"/>
      <c r="D72" s="69" t="s">
        <v>255</v>
      </c>
      <c r="E72" s="70" t="s">
        <v>266</v>
      </c>
      <c r="F72" s="79">
        <v>2</v>
      </c>
      <c r="G72" s="71">
        <v>2</v>
      </c>
      <c r="H72" s="74">
        <f t="shared" si="0"/>
        <v>100</v>
      </c>
      <c r="I72" s="72">
        <v>2</v>
      </c>
      <c r="J72" s="75">
        <f t="shared" si="1"/>
        <v>100</v>
      </c>
      <c r="K72" s="72">
        <v>2</v>
      </c>
      <c r="L72" s="72">
        <v>2</v>
      </c>
      <c r="M72" s="73">
        <v>1484.902</v>
      </c>
      <c r="N72" s="73">
        <v>1488.1349591439277</v>
      </c>
      <c r="O72" s="73">
        <f t="shared" si="2"/>
        <v>100.21772205464924</v>
      </c>
      <c r="P72" s="73">
        <v>1734.5732477194124</v>
      </c>
      <c r="Q72" s="73">
        <f t="shared" si="3"/>
        <v>116.56021095810101</v>
      </c>
      <c r="R72" s="73">
        <v>1561.1159229474713</v>
      </c>
      <c r="S72" s="73">
        <v>1561.1159229474713</v>
      </c>
    </row>
    <row r="73" spans="1:19" ht="60">
      <c r="A73" s="356"/>
      <c r="B73" s="357"/>
      <c r="C73" s="135"/>
      <c r="D73" s="69" t="s">
        <v>256</v>
      </c>
      <c r="E73" s="70" t="s">
        <v>257</v>
      </c>
      <c r="F73" s="79">
        <v>3</v>
      </c>
      <c r="G73" s="71">
        <v>3</v>
      </c>
      <c r="H73" s="74">
        <f t="shared" si="0"/>
        <v>100</v>
      </c>
      <c r="I73" s="72">
        <v>3</v>
      </c>
      <c r="J73" s="75">
        <f t="shared" si="1"/>
        <v>100</v>
      </c>
      <c r="K73" s="72">
        <v>3</v>
      </c>
      <c r="L73" s="72">
        <v>3</v>
      </c>
      <c r="M73" s="73">
        <v>2112.5239999999999</v>
      </c>
      <c r="N73" s="73">
        <v>2117.1211397182205</v>
      </c>
      <c r="O73" s="73">
        <f t="shared" si="2"/>
        <v>100.21761360903926</v>
      </c>
      <c r="P73" s="73">
        <v>2467.7208666941101</v>
      </c>
      <c r="Q73" s="73">
        <f t="shared" si="3"/>
        <v>116.56021095810101</v>
      </c>
      <c r="R73" s="73">
        <v>2220.9487800246993</v>
      </c>
      <c r="S73" s="73">
        <v>2220.9487800246993</v>
      </c>
    </row>
    <row r="74" spans="1:19" ht="48" customHeight="1">
      <c r="A74" s="356">
        <v>62</v>
      </c>
      <c r="B74" s="357" t="s">
        <v>258</v>
      </c>
      <c r="C74" s="135"/>
      <c r="D74" s="69" t="s">
        <v>175</v>
      </c>
      <c r="E74" s="70" t="s">
        <v>259</v>
      </c>
      <c r="F74" s="79">
        <v>9</v>
      </c>
      <c r="G74" s="71">
        <v>9</v>
      </c>
      <c r="H74" s="74">
        <f t="shared" si="0"/>
        <v>100</v>
      </c>
      <c r="I74" s="72">
        <v>9</v>
      </c>
      <c r="J74" s="75">
        <f t="shared" si="1"/>
        <v>100</v>
      </c>
      <c r="K74" s="72">
        <v>9</v>
      </c>
      <c r="L74" s="72">
        <v>9</v>
      </c>
      <c r="M74" s="73">
        <v>2322.2179999999998</v>
      </c>
      <c r="N74" s="73">
        <v>2327.2855453978791</v>
      </c>
      <c r="O74" s="73">
        <f t="shared" si="2"/>
        <v>100.21822005504562</v>
      </c>
      <c r="P74" s="73">
        <v>2712.6889413131594</v>
      </c>
      <c r="Q74" s="73">
        <f t="shared" si="3"/>
        <v>116.56021095810101</v>
      </c>
      <c r="R74" s="73">
        <v>2441.4200471818435</v>
      </c>
      <c r="S74" s="73">
        <v>2441.4200471818435</v>
      </c>
    </row>
    <row r="75" spans="1:19" ht="60">
      <c r="A75" s="356"/>
      <c r="B75" s="357"/>
      <c r="C75" s="135"/>
      <c r="D75" s="69" t="s">
        <v>260</v>
      </c>
      <c r="E75" s="70" t="s">
        <v>261</v>
      </c>
      <c r="F75" s="79">
        <v>4</v>
      </c>
      <c r="G75" s="71">
        <v>4</v>
      </c>
      <c r="H75" s="74">
        <f t="shared" ref="H75:H77" si="7">G75/F75*100</f>
        <v>100</v>
      </c>
      <c r="I75" s="72">
        <v>4</v>
      </c>
      <c r="J75" s="75">
        <f t="shared" ref="J75:J77" si="8">I75/G75*100</f>
        <v>100</v>
      </c>
      <c r="K75" s="72">
        <v>4</v>
      </c>
      <c r="L75" s="72">
        <v>4</v>
      </c>
      <c r="M75" s="73">
        <v>930.22</v>
      </c>
      <c r="N75" s="73">
        <v>932.24549422650762</v>
      </c>
      <c r="O75" s="73">
        <f t="shared" ref="O75:O80" si="9">N75/M75*100</f>
        <v>100.21774356888776</v>
      </c>
      <c r="P75" s="73">
        <v>1086.6273147178085</v>
      </c>
      <c r="Q75" s="73">
        <f t="shared" ref="Q75:Q77" si="10">P75/N75*100</f>
        <v>116.56021095810101</v>
      </c>
      <c r="R75" s="73">
        <v>977.9645832460277</v>
      </c>
      <c r="S75" s="73">
        <v>977.9645832460277</v>
      </c>
    </row>
    <row r="76" spans="1:19" ht="48" customHeight="1">
      <c r="A76" s="356">
        <v>63</v>
      </c>
      <c r="B76" s="357" t="s">
        <v>262</v>
      </c>
      <c r="C76" s="135"/>
      <c r="D76" s="69" t="s">
        <v>175</v>
      </c>
      <c r="E76" s="70" t="s">
        <v>259</v>
      </c>
      <c r="F76" s="79">
        <v>4</v>
      </c>
      <c r="G76" s="71">
        <v>4</v>
      </c>
      <c r="H76" s="74">
        <f t="shared" si="7"/>
        <v>100</v>
      </c>
      <c r="I76" s="72">
        <v>4</v>
      </c>
      <c r="J76" s="75">
        <f t="shared" si="8"/>
        <v>100</v>
      </c>
      <c r="K76" s="72">
        <v>4</v>
      </c>
      <c r="L76" s="72">
        <v>4</v>
      </c>
      <c r="M76" s="73">
        <v>930.22</v>
      </c>
      <c r="N76" s="73">
        <v>932.24549422650762</v>
      </c>
      <c r="O76" s="73">
        <f t="shared" si="9"/>
        <v>100.21774356888776</v>
      </c>
      <c r="P76" s="73">
        <v>1086.6273147178085</v>
      </c>
      <c r="Q76" s="73">
        <f t="shared" si="10"/>
        <v>116.56021095810101</v>
      </c>
      <c r="R76" s="73">
        <v>977.9645832460277</v>
      </c>
      <c r="S76" s="73">
        <v>977.9645832460277</v>
      </c>
    </row>
    <row r="77" spans="1:19" ht="60">
      <c r="A77" s="356"/>
      <c r="B77" s="357"/>
      <c r="C77" s="135"/>
      <c r="D77" s="69" t="s">
        <v>256</v>
      </c>
      <c r="E77" s="70" t="s">
        <v>257</v>
      </c>
      <c r="F77" s="79">
        <v>6</v>
      </c>
      <c r="G77" s="71">
        <v>6</v>
      </c>
      <c r="H77" s="74">
        <f t="shared" si="7"/>
        <v>100</v>
      </c>
      <c r="I77" s="72">
        <v>6</v>
      </c>
      <c r="J77" s="75">
        <f t="shared" si="8"/>
        <v>100</v>
      </c>
      <c r="K77" s="72">
        <v>6</v>
      </c>
      <c r="L77" s="72">
        <v>6</v>
      </c>
      <c r="M77" s="73">
        <v>661.08799999999997</v>
      </c>
      <c r="N77" s="73">
        <v>662.52409688653108</v>
      </c>
      <c r="O77" s="73">
        <f t="shared" si="9"/>
        <v>100.21723233314341</v>
      </c>
      <c r="P77" s="73">
        <v>772.23948497919412</v>
      </c>
      <c r="Q77" s="73">
        <f t="shared" si="10"/>
        <v>116.56021095810101</v>
      </c>
      <c r="R77" s="73">
        <v>695.01553648127469</v>
      </c>
      <c r="S77" s="73">
        <v>695.01553648127469</v>
      </c>
    </row>
    <row r="78" spans="1:19" ht="17.25" customHeight="1">
      <c r="A78" s="68">
        <v>64</v>
      </c>
      <c r="B78" s="69" t="s">
        <v>161</v>
      </c>
      <c r="C78" s="135"/>
      <c r="D78" s="69" t="s">
        <v>160</v>
      </c>
      <c r="E78" s="70" t="s">
        <v>182</v>
      </c>
      <c r="F78" s="79">
        <v>0</v>
      </c>
      <c r="G78" s="71">
        <v>0</v>
      </c>
      <c r="H78" s="74" t="s">
        <v>39</v>
      </c>
      <c r="I78" s="72">
        <v>1466</v>
      </c>
      <c r="J78" s="75" t="s">
        <v>39</v>
      </c>
      <c r="K78" s="72">
        <v>3300</v>
      </c>
      <c r="L78" s="72">
        <v>3300</v>
      </c>
      <c r="M78" s="73">
        <v>0</v>
      </c>
      <c r="N78" s="73">
        <v>0</v>
      </c>
      <c r="O78" s="73" t="s">
        <v>39</v>
      </c>
      <c r="P78" s="73">
        <v>2643.65</v>
      </c>
      <c r="Q78" s="73" t="s">
        <v>39</v>
      </c>
      <c r="R78" s="73">
        <v>2379.2849999999999</v>
      </c>
      <c r="S78" s="73">
        <v>2379.2849999999999</v>
      </c>
    </row>
    <row r="79" spans="1:19" ht="18" customHeight="1">
      <c r="A79" s="68">
        <v>65</v>
      </c>
      <c r="B79" s="69" t="s">
        <v>194</v>
      </c>
      <c r="C79" s="135"/>
      <c r="D79" s="69" t="s">
        <v>160</v>
      </c>
      <c r="E79" s="70" t="s">
        <v>182</v>
      </c>
      <c r="F79" s="79">
        <v>0</v>
      </c>
      <c r="G79" s="71">
        <v>0</v>
      </c>
      <c r="H79" s="74" t="s">
        <v>39</v>
      </c>
      <c r="I79" s="72">
        <v>1466</v>
      </c>
      <c r="J79" s="75" t="s">
        <v>39</v>
      </c>
      <c r="K79" s="72">
        <v>3300</v>
      </c>
      <c r="L79" s="72">
        <v>3300</v>
      </c>
      <c r="M79" s="73">
        <v>0</v>
      </c>
      <c r="N79" s="73">
        <v>0</v>
      </c>
      <c r="O79" s="73" t="s">
        <v>39</v>
      </c>
      <c r="P79" s="73">
        <v>2643.65</v>
      </c>
      <c r="Q79" s="73" t="s">
        <v>39</v>
      </c>
      <c r="R79" s="73">
        <v>2379.2849999999999</v>
      </c>
      <c r="S79" s="73">
        <v>2379.2849999999999</v>
      </c>
    </row>
    <row r="80" spans="1:19" ht="24.75" customHeight="1">
      <c r="A80" s="358" t="s">
        <v>263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80">
        <f>SUM(M10:M79)</f>
        <v>1575764.2993900005</v>
      </c>
      <c r="N80" s="80">
        <f>SUM(N10:N79)</f>
        <v>1668910.0371999999</v>
      </c>
      <c r="O80" s="82">
        <f t="shared" si="9"/>
        <v>105.91114660016459</v>
      </c>
      <c r="P80" s="81">
        <f>SUM(P10:P79)</f>
        <v>1799065.6002114597</v>
      </c>
      <c r="Q80" s="82">
        <f t="shared" ref="Q80" si="11">P80/N80*100</f>
        <v>107.7988363728597</v>
      </c>
      <c r="R80" s="81">
        <f>SUM(R10:R79)</f>
        <v>1619159.0401903135</v>
      </c>
      <c r="S80" s="81">
        <f>SUM(S10:S79)</f>
        <v>1619159.0401903135</v>
      </c>
    </row>
    <row r="85" spans="13:19">
      <c r="M85" s="83"/>
      <c r="N85" s="83"/>
      <c r="O85" s="83"/>
      <c r="P85" s="83"/>
      <c r="Q85" s="83"/>
      <c r="R85" s="83"/>
      <c r="S85" s="83"/>
    </row>
  </sheetData>
  <mergeCells count="19">
    <mergeCell ref="A76:A77"/>
    <mergeCell ref="B76:B77"/>
    <mergeCell ref="A80:L80"/>
    <mergeCell ref="A67:A68"/>
    <mergeCell ref="B67:B68"/>
    <mergeCell ref="A71:A73"/>
    <mergeCell ref="B71:B73"/>
    <mergeCell ref="A74:A75"/>
    <mergeCell ref="B74:B75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dataValidations count="1">
    <dataValidation type="list" allowBlank="1" showInputMessage="1" showErrorMessage="1" sqref="E26 E48 E44">
      <formula1>#REF!</formula1>
    </dataValidation>
  </dataValidations>
  <pageMargins left="0.11811023622047245" right="0.11811023622047245" top="0.55118110236220474" bottom="0.55118110236220474" header="0.31496062992125984" footer="0.31496062992125984"/>
  <pageSetup paperSize="9" scale="60" fitToHeight="0" orientation="landscape" r:id="rId1"/>
  <rowBreaks count="1" manualBreakCount="1">
    <brk id="70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4" zoomScale="90" zoomScaleNormal="90" workbookViewId="0">
      <pane xSplit="2" ySplit="9" topLeftCell="C21" activePane="bottomRight" state="frozen"/>
      <selection activeCell="A4" sqref="A4"/>
      <selection pane="topRight" activeCell="C4" sqref="C4"/>
      <selection pane="bottomLeft" activeCell="A10" sqref="A10"/>
      <selection pane="bottomRight" activeCell="P32" sqref="P32"/>
    </sheetView>
  </sheetViews>
  <sheetFormatPr defaultRowHeight="15"/>
  <cols>
    <col min="1" max="1" width="5.7109375" customWidth="1"/>
    <col min="2" max="2" width="70.42578125" customWidth="1"/>
    <col min="3" max="3" width="17.5703125" customWidth="1"/>
    <col min="4" max="4" width="15.7109375" customWidth="1"/>
    <col min="5" max="5" width="10.42578125" customWidth="1"/>
    <col min="6" max="6" width="11.2851562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9.42578125" customWidth="1"/>
    <col min="16" max="16" width="10.7109375" customWidth="1"/>
    <col min="17" max="17" width="10" customWidth="1"/>
    <col min="18" max="18" width="11.85546875" customWidth="1"/>
    <col min="19" max="19" width="12.5703125" customWidth="1"/>
  </cols>
  <sheetData>
    <row r="1" spans="1:19" ht="15" customHeight="1"/>
    <row r="2" spans="1:19" ht="37.5" customHeight="1">
      <c r="A2" s="273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1:19" ht="15.75" customHeight="1">
      <c r="A5" s="361" t="s">
        <v>639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19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4" customHeight="1">
      <c r="A7" s="27" t="s">
        <v>440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7.25" customHeight="1"/>
    <row r="9" spans="1:19" ht="36" customHeight="1">
      <c r="A9" s="289" t="s">
        <v>3</v>
      </c>
      <c r="B9" s="289" t="s">
        <v>4</v>
      </c>
      <c r="C9" s="289" t="s">
        <v>5</v>
      </c>
      <c r="D9" s="289" t="s">
        <v>180</v>
      </c>
      <c r="E9" s="289"/>
      <c r="F9" s="289"/>
      <c r="G9" s="289"/>
      <c r="H9" s="289"/>
      <c r="I9" s="289"/>
      <c r="J9" s="289"/>
      <c r="K9" s="289"/>
      <c r="L9" s="289"/>
      <c r="M9" s="283" t="s">
        <v>6</v>
      </c>
      <c r="N9" s="283"/>
      <c r="O9" s="283"/>
      <c r="P9" s="283"/>
      <c r="Q9" s="283"/>
      <c r="R9" s="283"/>
      <c r="S9" s="283"/>
    </row>
    <row r="10" spans="1:19" ht="19.5" customHeight="1">
      <c r="A10" s="289"/>
      <c r="B10" s="289"/>
      <c r="C10" s="289"/>
      <c r="D10" s="289" t="s">
        <v>7</v>
      </c>
      <c r="E10" s="289" t="s">
        <v>8</v>
      </c>
      <c r="F10" s="289" t="s">
        <v>9</v>
      </c>
      <c r="G10" s="289"/>
      <c r="H10" s="289"/>
      <c r="I10" s="289"/>
      <c r="J10" s="289"/>
      <c r="K10" s="289"/>
      <c r="L10" s="289"/>
      <c r="M10" s="289" t="s">
        <v>10</v>
      </c>
      <c r="N10" s="289"/>
      <c r="O10" s="289"/>
      <c r="P10" s="289"/>
      <c r="Q10" s="289"/>
      <c r="R10" s="289"/>
      <c r="S10" s="289"/>
    </row>
    <row r="11" spans="1:19" ht="66.75" customHeight="1">
      <c r="A11" s="289"/>
      <c r="B11" s="289"/>
      <c r="C11" s="289"/>
      <c r="D11" s="289"/>
      <c r="E11" s="289"/>
      <c r="F11" s="48" t="s">
        <v>11</v>
      </c>
      <c r="G11" s="48" t="s">
        <v>12</v>
      </c>
      <c r="H11" s="51" t="s">
        <v>13</v>
      </c>
      <c r="I11" s="48" t="s">
        <v>14</v>
      </c>
      <c r="J11" s="51" t="s">
        <v>15</v>
      </c>
      <c r="K11" s="48" t="s">
        <v>16</v>
      </c>
      <c r="L11" s="48" t="s">
        <v>17</v>
      </c>
      <c r="M11" s="48" t="s">
        <v>11</v>
      </c>
      <c r="N11" s="48" t="s">
        <v>12</v>
      </c>
      <c r="O11" s="51" t="s">
        <v>13</v>
      </c>
      <c r="P11" s="48" t="s">
        <v>14</v>
      </c>
      <c r="Q11" s="51" t="s">
        <v>15</v>
      </c>
      <c r="R11" s="48" t="s">
        <v>16</v>
      </c>
      <c r="S11" s="48" t="s">
        <v>17</v>
      </c>
    </row>
    <row r="12" spans="1:19" ht="15.75" customHeight="1">
      <c r="A12" s="125">
        <v>1</v>
      </c>
      <c r="B12" s="17" t="s">
        <v>18</v>
      </c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27</v>
      </c>
      <c r="L12" s="17" t="s">
        <v>28</v>
      </c>
      <c r="M12" s="17" t="s">
        <v>29</v>
      </c>
      <c r="N12" s="17" t="s">
        <v>30</v>
      </c>
      <c r="O12" s="17" t="s">
        <v>31</v>
      </c>
      <c r="P12" s="17" t="s">
        <v>32</v>
      </c>
      <c r="Q12" s="17" t="s">
        <v>33</v>
      </c>
      <c r="R12" s="17" t="s">
        <v>34</v>
      </c>
      <c r="S12" s="17" t="s">
        <v>35</v>
      </c>
    </row>
    <row r="13" spans="1:19" ht="51.75" customHeight="1">
      <c r="A13" s="137">
        <v>1</v>
      </c>
      <c r="B13" s="107" t="s">
        <v>397</v>
      </c>
      <c r="C13" s="54"/>
      <c r="D13" s="207"/>
      <c r="E13" s="207"/>
      <c r="F13" s="207"/>
      <c r="G13" s="137"/>
      <c r="H13" s="208"/>
      <c r="I13" s="208"/>
      <c r="J13" s="208"/>
      <c r="K13" s="208"/>
      <c r="L13" s="208"/>
      <c r="M13" s="207"/>
      <c r="N13" s="208"/>
      <c r="O13" s="208"/>
      <c r="P13" s="208"/>
      <c r="Q13" s="208"/>
      <c r="R13" s="208"/>
      <c r="S13" s="208"/>
    </row>
    <row r="14" spans="1:19" ht="45">
      <c r="A14" s="209" t="s">
        <v>398</v>
      </c>
      <c r="B14" s="101" t="s">
        <v>399</v>
      </c>
      <c r="C14" s="101"/>
      <c r="D14" s="101" t="s">
        <v>400</v>
      </c>
      <c r="E14" s="101" t="s">
        <v>401</v>
      </c>
      <c r="F14" s="143">
        <v>248535</v>
      </c>
      <c r="G14" s="143">
        <v>1225122</v>
      </c>
      <c r="H14" s="143">
        <f>G14/F14*100</f>
        <v>492.93741324159572</v>
      </c>
      <c r="I14" s="143">
        <v>1284755</v>
      </c>
      <c r="J14" s="143">
        <f>I14/G14*100</f>
        <v>104.8675152352174</v>
      </c>
      <c r="K14" s="143">
        <f>+ROUND(I14*0.9,0)</f>
        <v>1156280</v>
      </c>
      <c r="L14" s="143">
        <f>K14</f>
        <v>1156280</v>
      </c>
      <c r="M14" s="143">
        <v>46549.7</v>
      </c>
      <c r="N14" s="143">
        <v>78633.8</v>
      </c>
      <c r="O14" s="143">
        <f>N14/M14*100</f>
        <v>168.92439693488896</v>
      </c>
      <c r="P14" s="143">
        <v>80531.5</v>
      </c>
      <c r="Q14" s="143">
        <f>P14/N14*100</f>
        <v>102.41333879324156</v>
      </c>
      <c r="R14" s="143">
        <f>+ROUND(P14*0.9,2)</f>
        <v>72478.350000000006</v>
      </c>
      <c r="S14" s="143">
        <f>R14</f>
        <v>72478.350000000006</v>
      </c>
    </row>
    <row r="15" spans="1:19" ht="45">
      <c r="A15" s="209" t="s">
        <v>402</v>
      </c>
      <c r="B15" s="101" t="s">
        <v>403</v>
      </c>
      <c r="C15" s="101"/>
      <c r="D15" s="101" t="s">
        <v>400</v>
      </c>
      <c r="E15" s="101" t="s">
        <v>401</v>
      </c>
      <c r="F15" s="143">
        <v>3100</v>
      </c>
      <c r="G15" s="143">
        <v>2900</v>
      </c>
      <c r="H15" s="143">
        <f t="shared" ref="H15:H31" si="0">G15/F15*100</f>
        <v>93.548387096774192</v>
      </c>
      <c r="I15" s="143">
        <v>2980</v>
      </c>
      <c r="J15" s="143">
        <f t="shared" ref="J15:J31" si="1">I15/G15*100</f>
        <v>102.75862068965517</v>
      </c>
      <c r="K15" s="143">
        <f t="shared" ref="K15:K31" si="2">+ROUND(I15*0.9,0)</f>
        <v>2682</v>
      </c>
      <c r="L15" s="143">
        <f t="shared" ref="L15:L31" si="3">K15</f>
        <v>2682</v>
      </c>
      <c r="M15" s="143">
        <v>963.4</v>
      </c>
      <c r="N15" s="143">
        <v>891.4</v>
      </c>
      <c r="O15" s="143">
        <f t="shared" ref="O15:O31" si="4">N15/M15*100</f>
        <v>92.526468756487446</v>
      </c>
      <c r="P15" s="143">
        <v>916</v>
      </c>
      <c r="Q15" s="143">
        <f t="shared" ref="Q15:Q31" si="5">P15/N15*100</f>
        <v>102.75970383666144</v>
      </c>
      <c r="R15" s="143">
        <f t="shared" ref="R15:R31" si="6">+ROUND(P15*0.9,2)</f>
        <v>824.4</v>
      </c>
      <c r="S15" s="143">
        <f t="shared" ref="S15:S31" si="7">R15</f>
        <v>824.4</v>
      </c>
    </row>
    <row r="16" spans="1:19" ht="48" customHeight="1">
      <c r="A16" s="209" t="s">
        <v>404</v>
      </c>
      <c r="B16" s="54" t="s">
        <v>405</v>
      </c>
      <c r="C16" s="54"/>
      <c r="D16" s="101" t="s">
        <v>406</v>
      </c>
      <c r="E16" s="101" t="s">
        <v>109</v>
      </c>
      <c r="F16" s="143">
        <v>141423</v>
      </c>
      <c r="G16" s="143">
        <v>127715</v>
      </c>
      <c r="H16" s="143">
        <f t="shared" si="0"/>
        <v>90.307092905680122</v>
      </c>
      <c r="I16" s="143">
        <v>133970</v>
      </c>
      <c r="J16" s="143">
        <f t="shared" si="1"/>
        <v>104.89762361508046</v>
      </c>
      <c r="K16" s="143">
        <f t="shared" si="2"/>
        <v>120573</v>
      </c>
      <c r="L16" s="143">
        <f t="shared" si="3"/>
        <v>120573</v>
      </c>
      <c r="M16" s="143">
        <v>23937.9</v>
      </c>
      <c r="N16" s="143">
        <v>21925</v>
      </c>
      <c r="O16" s="143">
        <f t="shared" si="4"/>
        <v>91.591158790035877</v>
      </c>
      <c r="P16" s="143">
        <v>22406.799999999999</v>
      </c>
      <c r="Q16" s="143">
        <f t="shared" si="5"/>
        <v>102.19749144811858</v>
      </c>
      <c r="R16" s="143">
        <f t="shared" si="6"/>
        <v>20166.12</v>
      </c>
      <c r="S16" s="143">
        <f t="shared" si="7"/>
        <v>20166.12</v>
      </c>
    </row>
    <row r="17" spans="1:19" ht="49.5" customHeight="1">
      <c r="A17" s="209" t="s">
        <v>407</v>
      </c>
      <c r="B17" s="107" t="s">
        <v>408</v>
      </c>
      <c r="C17" s="107"/>
      <c r="D17" s="101" t="s">
        <v>409</v>
      </c>
      <c r="E17" s="101" t="s">
        <v>401</v>
      </c>
      <c r="F17" s="143">
        <v>150401</v>
      </c>
      <c r="G17" s="143">
        <v>150105</v>
      </c>
      <c r="H17" s="143">
        <f t="shared" si="0"/>
        <v>99.803192797920232</v>
      </c>
      <c r="I17" s="143">
        <v>193344</v>
      </c>
      <c r="J17" s="143">
        <f t="shared" si="1"/>
        <v>128.80583591485959</v>
      </c>
      <c r="K17" s="143">
        <f t="shared" si="2"/>
        <v>174010</v>
      </c>
      <c r="L17" s="143">
        <f t="shared" si="3"/>
        <v>174010</v>
      </c>
      <c r="M17" s="143">
        <v>40903.800000000003</v>
      </c>
      <c r="N17" s="143">
        <v>47413.8</v>
      </c>
      <c r="O17" s="143">
        <f t="shared" si="4"/>
        <v>115.91539172399629</v>
      </c>
      <c r="P17" s="143">
        <v>52181</v>
      </c>
      <c r="Q17" s="143">
        <f t="shared" si="5"/>
        <v>110.05445671935175</v>
      </c>
      <c r="R17" s="143">
        <f t="shared" si="6"/>
        <v>46962.9</v>
      </c>
      <c r="S17" s="143">
        <f t="shared" si="7"/>
        <v>46962.9</v>
      </c>
    </row>
    <row r="18" spans="1:19" ht="34.5" customHeight="1">
      <c r="A18" s="209" t="s">
        <v>410</v>
      </c>
      <c r="B18" s="54" t="s">
        <v>411</v>
      </c>
      <c r="C18" s="54"/>
      <c r="D18" s="101" t="s">
        <v>412</v>
      </c>
      <c r="E18" s="101" t="s">
        <v>401</v>
      </c>
      <c r="F18" s="143">
        <v>95350</v>
      </c>
      <c r="G18" s="143">
        <v>102514</v>
      </c>
      <c r="H18" s="143">
        <f t="shared" si="0"/>
        <v>107.51337178814893</v>
      </c>
      <c r="I18" s="143">
        <v>137367</v>
      </c>
      <c r="J18" s="143">
        <f t="shared" si="1"/>
        <v>133.99828316132431</v>
      </c>
      <c r="K18" s="143">
        <f t="shared" si="2"/>
        <v>123630</v>
      </c>
      <c r="L18" s="143">
        <f t="shared" si="3"/>
        <v>123630</v>
      </c>
      <c r="M18" s="143">
        <v>10920.4</v>
      </c>
      <c r="N18" s="143">
        <v>11981.7</v>
      </c>
      <c r="O18" s="143">
        <f t="shared" si="4"/>
        <v>109.71850847954288</v>
      </c>
      <c r="P18" s="143">
        <v>12555.3</v>
      </c>
      <c r="Q18" s="143">
        <f t="shared" si="5"/>
        <v>104.78730063346602</v>
      </c>
      <c r="R18" s="143">
        <f t="shared" si="6"/>
        <v>11299.77</v>
      </c>
      <c r="S18" s="143">
        <f t="shared" si="7"/>
        <v>11299.77</v>
      </c>
    </row>
    <row r="19" spans="1:19" ht="34.5" customHeight="1">
      <c r="A19" s="209" t="s">
        <v>413</v>
      </c>
      <c r="B19" s="54" t="s">
        <v>414</v>
      </c>
      <c r="C19" s="54"/>
      <c r="D19" s="101" t="s">
        <v>415</v>
      </c>
      <c r="E19" s="101" t="s">
        <v>109</v>
      </c>
      <c r="F19" s="143">
        <v>216</v>
      </c>
      <c r="G19" s="143">
        <v>216</v>
      </c>
      <c r="H19" s="143">
        <f t="shared" si="0"/>
        <v>100</v>
      </c>
      <c r="I19" s="143">
        <v>216</v>
      </c>
      <c r="J19" s="143">
        <f t="shared" si="1"/>
        <v>100</v>
      </c>
      <c r="K19" s="143">
        <f t="shared" si="2"/>
        <v>194</v>
      </c>
      <c r="L19" s="143">
        <f t="shared" si="3"/>
        <v>194</v>
      </c>
      <c r="M19" s="143">
        <v>278.3</v>
      </c>
      <c r="N19" s="143">
        <v>334</v>
      </c>
      <c r="O19" s="143">
        <f t="shared" si="4"/>
        <v>120.01437297879984</v>
      </c>
      <c r="P19" s="143">
        <v>334</v>
      </c>
      <c r="Q19" s="143">
        <f t="shared" si="5"/>
        <v>100</v>
      </c>
      <c r="R19" s="143">
        <f t="shared" si="6"/>
        <v>300.60000000000002</v>
      </c>
      <c r="S19" s="143">
        <f t="shared" si="7"/>
        <v>300.60000000000002</v>
      </c>
    </row>
    <row r="20" spans="1:19" ht="45.75" customHeight="1">
      <c r="A20" s="209" t="s">
        <v>416</v>
      </c>
      <c r="B20" s="54" t="s">
        <v>417</v>
      </c>
      <c r="C20" s="54"/>
      <c r="D20" s="101" t="s">
        <v>418</v>
      </c>
      <c r="E20" s="101" t="s">
        <v>401</v>
      </c>
      <c r="F20" s="143">
        <v>288</v>
      </c>
      <c r="G20" s="143">
        <v>296</v>
      </c>
      <c r="H20" s="143">
        <f t="shared" si="0"/>
        <v>102.77777777777777</v>
      </c>
      <c r="I20" s="143"/>
      <c r="J20" s="143">
        <f t="shared" si="1"/>
        <v>0</v>
      </c>
      <c r="K20" s="143">
        <f t="shared" si="2"/>
        <v>0</v>
      </c>
      <c r="L20" s="143">
        <f t="shared" si="3"/>
        <v>0</v>
      </c>
      <c r="M20" s="143">
        <v>310.7</v>
      </c>
      <c r="N20" s="143">
        <v>417.6</v>
      </c>
      <c r="O20" s="143">
        <f t="shared" si="4"/>
        <v>134.40617959446413</v>
      </c>
      <c r="P20" s="143">
        <v>0</v>
      </c>
      <c r="Q20" s="143">
        <f t="shared" si="5"/>
        <v>0</v>
      </c>
      <c r="R20" s="143">
        <f t="shared" si="6"/>
        <v>0</v>
      </c>
      <c r="S20" s="143">
        <f t="shared" si="7"/>
        <v>0</v>
      </c>
    </row>
    <row r="21" spans="1:19" ht="45.75" customHeight="1">
      <c r="A21" s="209" t="s">
        <v>18</v>
      </c>
      <c r="B21" s="107" t="s">
        <v>419</v>
      </c>
      <c r="C21" s="54"/>
      <c r="D21" s="101"/>
      <c r="E21" s="101"/>
      <c r="F21" s="143"/>
      <c r="G21" s="143"/>
      <c r="H21" s="143"/>
      <c r="I21" s="143"/>
      <c r="J21" s="143"/>
      <c r="K21" s="143">
        <f t="shared" si="2"/>
        <v>0</v>
      </c>
      <c r="L21" s="143">
        <f t="shared" si="3"/>
        <v>0</v>
      </c>
      <c r="M21" s="143"/>
      <c r="N21" s="143"/>
      <c r="O21" s="143"/>
      <c r="P21" s="143"/>
      <c r="Q21" s="143"/>
      <c r="R21" s="143">
        <f t="shared" si="6"/>
        <v>0</v>
      </c>
      <c r="S21" s="143">
        <f t="shared" si="7"/>
        <v>0</v>
      </c>
    </row>
    <row r="22" spans="1:19" ht="34.5" customHeight="1">
      <c r="A22" s="209" t="s">
        <v>420</v>
      </c>
      <c r="B22" s="54" t="s">
        <v>421</v>
      </c>
      <c r="C22" s="54"/>
      <c r="D22" s="101" t="s">
        <v>422</v>
      </c>
      <c r="E22" s="137" t="s">
        <v>401</v>
      </c>
      <c r="F22" s="143">
        <v>11564</v>
      </c>
      <c r="G22" s="143">
        <v>9784</v>
      </c>
      <c r="H22" s="143">
        <f t="shared" si="0"/>
        <v>84.607402282947078</v>
      </c>
      <c r="I22" s="143">
        <v>9784</v>
      </c>
      <c r="J22" s="143">
        <f t="shared" si="1"/>
        <v>100</v>
      </c>
      <c r="K22" s="143">
        <f t="shared" si="2"/>
        <v>8806</v>
      </c>
      <c r="L22" s="143">
        <f t="shared" si="3"/>
        <v>8806</v>
      </c>
      <c r="M22" s="143">
        <v>319.89999999999998</v>
      </c>
      <c r="N22" s="143">
        <v>309.89999999999998</v>
      </c>
      <c r="O22" s="143">
        <f t="shared" si="4"/>
        <v>96.874023132228828</v>
      </c>
      <c r="P22" s="143">
        <v>309.89999999999998</v>
      </c>
      <c r="Q22" s="143">
        <f t="shared" si="5"/>
        <v>100</v>
      </c>
      <c r="R22" s="143">
        <f t="shared" si="6"/>
        <v>278.91000000000003</v>
      </c>
      <c r="S22" s="143">
        <f t="shared" si="7"/>
        <v>278.91000000000003</v>
      </c>
    </row>
    <row r="23" spans="1:19" ht="35.25" customHeight="1">
      <c r="A23" s="209" t="s">
        <v>423</v>
      </c>
      <c r="B23" s="54" t="s">
        <v>424</v>
      </c>
      <c r="C23" s="54"/>
      <c r="D23" s="101" t="s">
        <v>422</v>
      </c>
      <c r="E23" s="137" t="s">
        <v>401</v>
      </c>
      <c r="F23" s="143">
        <v>596340</v>
      </c>
      <c r="G23" s="143">
        <v>643410</v>
      </c>
      <c r="H23" s="143">
        <f t="shared" si="0"/>
        <v>107.89314820404468</v>
      </c>
      <c r="I23" s="143">
        <v>643410</v>
      </c>
      <c r="J23" s="143">
        <f t="shared" si="1"/>
        <v>100</v>
      </c>
      <c r="K23" s="143">
        <f t="shared" si="2"/>
        <v>579069</v>
      </c>
      <c r="L23" s="143">
        <f t="shared" si="3"/>
        <v>579069</v>
      </c>
      <c r="M23" s="143">
        <v>6273.1</v>
      </c>
      <c r="N23" s="143">
        <v>8121.9</v>
      </c>
      <c r="O23" s="143">
        <f t="shared" si="4"/>
        <v>129.47187196123127</v>
      </c>
      <c r="P23" s="143">
        <v>8121.9</v>
      </c>
      <c r="Q23" s="143">
        <f t="shared" si="5"/>
        <v>100</v>
      </c>
      <c r="R23" s="143">
        <f t="shared" si="6"/>
        <v>7309.71</v>
      </c>
      <c r="S23" s="143">
        <f t="shared" si="7"/>
        <v>7309.71</v>
      </c>
    </row>
    <row r="24" spans="1:19" ht="50.25" customHeight="1">
      <c r="A24" s="209" t="s">
        <v>425</v>
      </c>
      <c r="B24" s="54" t="s">
        <v>426</v>
      </c>
      <c r="C24" s="54"/>
      <c r="D24" s="101" t="s">
        <v>427</v>
      </c>
      <c r="E24" s="137" t="s">
        <v>401</v>
      </c>
      <c r="F24" s="143">
        <v>1300</v>
      </c>
      <c r="G24" s="143">
        <v>1560</v>
      </c>
      <c r="H24" s="143">
        <f t="shared" si="0"/>
        <v>120</v>
      </c>
      <c r="I24" s="143">
        <v>1560</v>
      </c>
      <c r="J24" s="143">
        <f t="shared" si="1"/>
        <v>100</v>
      </c>
      <c r="K24" s="143">
        <f t="shared" si="2"/>
        <v>1404</v>
      </c>
      <c r="L24" s="143">
        <f t="shared" si="3"/>
        <v>1404</v>
      </c>
      <c r="M24" s="143">
        <v>3039.3</v>
      </c>
      <c r="N24" s="143">
        <v>4175.8999999999996</v>
      </c>
      <c r="O24" s="143">
        <f t="shared" si="4"/>
        <v>137.39676899286019</v>
      </c>
      <c r="P24" s="143">
        <v>4175.8999999999996</v>
      </c>
      <c r="Q24" s="143">
        <f t="shared" si="5"/>
        <v>100</v>
      </c>
      <c r="R24" s="143">
        <f t="shared" si="6"/>
        <v>3758.31</v>
      </c>
      <c r="S24" s="143">
        <f t="shared" si="7"/>
        <v>3758.31</v>
      </c>
    </row>
    <row r="25" spans="1:19" ht="30">
      <c r="A25" s="209" t="s">
        <v>428</v>
      </c>
      <c r="B25" s="54" t="s">
        <v>429</v>
      </c>
      <c r="C25" s="54"/>
      <c r="D25" s="101" t="s">
        <v>430</v>
      </c>
      <c r="E25" s="137" t="s">
        <v>109</v>
      </c>
      <c r="F25" s="143"/>
      <c r="G25" s="143"/>
      <c r="H25" s="143"/>
      <c r="I25" s="143">
        <v>74</v>
      </c>
      <c r="J25" s="143"/>
      <c r="K25" s="143">
        <f t="shared" si="2"/>
        <v>67</v>
      </c>
      <c r="L25" s="143">
        <f t="shared" si="3"/>
        <v>67</v>
      </c>
      <c r="M25" s="143"/>
      <c r="N25" s="143"/>
      <c r="O25" s="143"/>
      <c r="P25" s="143"/>
      <c r="Q25" s="143"/>
      <c r="R25" s="143">
        <f t="shared" si="6"/>
        <v>0</v>
      </c>
      <c r="S25" s="143">
        <f t="shared" si="7"/>
        <v>0</v>
      </c>
    </row>
    <row r="26" spans="1:19" ht="30">
      <c r="A26" s="209" t="s">
        <v>431</v>
      </c>
      <c r="B26" s="54" t="s">
        <v>432</v>
      </c>
      <c r="C26" s="54"/>
      <c r="D26" s="101" t="s">
        <v>409</v>
      </c>
      <c r="E26" s="137" t="s">
        <v>401</v>
      </c>
      <c r="F26" s="143"/>
      <c r="G26" s="143"/>
      <c r="H26" s="143"/>
      <c r="I26" s="143">
        <v>74</v>
      </c>
      <c r="J26" s="143"/>
      <c r="K26" s="143">
        <f t="shared" si="2"/>
        <v>67</v>
      </c>
      <c r="L26" s="143">
        <f t="shared" si="3"/>
        <v>67</v>
      </c>
      <c r="M26" s="143"/>
      <c r="N26" s="143"/>
      <c r="O26" s="143"/>
      <c r="P26" s="143"/>
      <c r="Q26" s="143"/>
      <c r="R26" s="143">
        <f t="shared" si="6"/>
        <v>0</v>
      </c>
      <c r="S26" s="143">
        <f t="shared" si="7"/>
        <v>0</v>
      </c>
    </row>
    <row r="27" spans="1:19" ht="30">
      <c r="A27" s="209" t="s">
        <v>19</v>
      </c>
      <c r="B27" s="107" t="s">
        <v>433</v>
      </c>
      <c r="C27" s="54"/>
      <c r="D27" s="101" t="s">
        <v>434</v>
      </c>
      <c r="E27" s="137" t="s">
        <v>109</v>
      </c>
      <c r="F27" s="143">
        <v>451269</v>
      </c>
      <c r="G27" s="143">
        <v>668269</v>
      </c>
      <c r="H27" s="143">
        <f t="shared" si="0"/>
        <v>148.08661795957622</v>
      </c>
      <c r="I27" s="143">
        <v>793445</v>
      </c>
      <c r="J27" s="143">
        <f t="shared" si="1"/>
        <v>118.73137913026042</v>
      </c>
      <c r="K27" s="143">
        <f t="shared" si="2"/>
        <v>714101</v>
      </c>
      <c r="L27" s="143">
        <f t="shared" si="3"/>
        <v>714101</v>
      </c>
      <c r="M27" s="143">
        <v>1811.9</v>
      </c>
      <c r="N27" s="143">
        <v>2387.5</v>
      </c>
      <c r="O27" s="143">
        <f t="shared" si="4"/>
        <v>131.7677576025167</v>
      </c>
      <c r="P27" s="143">
        <v>2834.7</v>
      </c>
      <c r="Q27" s="143">
        <f t="shared" si="5"/>
        <v>118.73089005235602</v>
      </c>
      <c r="R27" s="143">
        <f t="shared" si="6"/>
        <v>2551.23</v>
      </c>
      <c r="S27" s="143">
        <f t="shared" si="7"/>
        <v>2551.23</v>
      </c>
    </row>
    <row r="28" spans="1:19" ht="50.25" customHeight="1">
      <c r="A28" s="209" t="s">
        <v>20</v>
      </c>
      <c r="B28" s="107" t="s">
        <v>435</v>
      </c>
      <c r="C28" s="54"/>
      <c r="D28" s="101" t="s">
        <v>434</v>
      </c>
      <c r="E28" s="137" t="s">
        <v>109</v>
      </c>
      <c r="F28" s="143">
        <v>610</v>
      </c>
      <c r="G28" s="143">
        <v>655</v>
      </c>
      <c r="H28" s="143">
        <f t="shared" si="0"/>
        <v>107.37704918032787</v>
      </c>
      <c r="I28" s="143">
        <v>680</v>
      </c>
      <c r="J28" s="143">
        <f t="shared" si="1"/>
        <v>103.81679389312977</v>
      </c>
      <c r="K28" s="143">
        <f t="shared" si="2"/>
        <v>612</v>
      </c>
      <c r="L28" s="143">
        <f t="shared" si="3"/>
        <v>612</v>
      </c>
      <c r="M28" s="143">
        <v>303.5</v>
      </c>
      <c r="N28" s="143">
        <v>304.2</v>
      </c>
      <c r="O28" s="143">
        <f t="shared" si="4"/>
        <v>100.23064250411862</v>
      </c>
      <c r="P28" s="143">
        <v>315.8</v>
      </c>
      <c r="Q28" s="143">
        <f t="shared" si="5"/>
        <v>103.81328073635767</v>
      </c>
      <c r="R28" s="143">
        <f t="shared" si="6"/>
        <v>284.22000000000003</v>
      </c>
      <c r="S28" s="143">
        <f t="shared" si="7"/>
        <v>284.22000000000003</v>
      </c>
    </row>
    <row r="29" spans="1:19" ht="32.25" customHeight="1">
      <c r="A29" s="209" t="s">
        <v>21</v>
      </c>
      <c r="B29" s="107" t="s">
        <v>436</v>
      </c>
      <c r="C29" s="54"/>
      <c r="D29" s="101" t="s">
        <v>434</v>
      </c>
      <c r="E29" s="137" t="s">
        <v>109</v>
      </c>
      <c r="F29" s="143">
        <v>1110</v>
      </c>
      <c r="G29" s="143">
        <v>1110</v>
      </c>
      <c r="H29" s="143">
        <f t="shared" si="0"/>
        <v>100</v>
      </c>
      <c r="I29" s="143">
        <v>1158</v>
      </c>
      <c r="J29" s="143">
        <f t="shared" si="1"/>
        <v>104.32432432432432</v>
      </c>
      <c r="K29" s="143">
        <f t="shared" si="2"/>
        <v>1042</v>
      </c>
      <c r="L29" s="143">
        <f t="shared" si="3"/>
        <v>1042</v>
      </c>
      <c r="M29" s="143">
        <v>1375.1</v>
      </c>
      <c r="N29" s="143">
        <v>1380.6</v>
      </c>
      <c r="O29" s="143">
        <f t="shared" si="4"/>
        <v>100.39997091120645</v>
      </c>
      <c r="P29" s="143">
        <v>1440.3</v>
      </c>
      <c r="Q29" s="143">
        <f t="shared" si="5"/>
        <v>104.32420686657974</v>
      </c>
      <c r="R29" s="143">
        <f t="shared" si="6"/>
        <v>1296.27</v>
      </c>
      <c r="S29" s="143">
        <f t="shared" si="7"/>
        <v>1296.27</v>
      </c>
    </row>
    <row r="30" spans="1:19" ht="33.75" customHeight="1">
      <c r="A30" s="209" t="s">
        <v>22</v>
      </c>
      <c r="B30" s="107" t="s">
        <v>437</v>
      </c>
      <c r="C30" s="54"/>
      <c r="D30" s="101" t="s">
        <v>438</v>
      </c>
      <c r="E30" s="137" t="s">
        <v>401</v>
      </c>
      <c r="F30" s="143">
        <v>52</v>
      </c>
      <c r="G30" s="143">
        <v>52</v>
      </c>
      <c r="H30" s="143">
        <f t="shared" si="0"/>
        <v>100</v>
      </c>
      <c r="I30" s="143">
        <v>52</v>
      </c>
      <c r="J30" s="143">
        <f t="shared" si="1"/>
        <v>100</v>
      </c>
      <c r="K30" s="143">
        <f t="shared" si="2"/>
        <v>47</v>
      </c>
      <c r="L30" s="143">
        <f t="shared" si="3"/>
        <v>47</v>
      </c>
      <c r="M30" s="143">
        <v>10.5</v>
      </c>
      <c r="N30" s="143">
        <v>12.6</v>
      </c>
      <c r="O30" s="143">
        <f t="shared" si="4"/>
        <v>120</v>
      </c>
      <c r="P30" s="143">
        <v>12.6</v>
      </c>
      <c r="Q30" s="143">
        <f t="shared" si="5"/>
        <v>100</v>
      </c>
      <c r="R30" s="143">
        <f t="shared" si="6"/>
        <v>11.34</v>
      </c>
      <c r="S30" s="143">
        <f t="shared" si="7"/>
        <v>11.34</v>
      </c>
    </row>
    <row r="31" spans="1:19" ht="31.5" customHeight="1">
      <c r="A31" s="209" t="s">
        <v>23</v>
      </c>
      <c r="B31" s="107" t="s">
        <v>439</v>
      </c>
      <c r="C31" s="54"/>
      <c r="D31" s="101" t="s">
        <v>434</v>
      </c>
      <c r="E31" s="137" t="s">
        <v>109</v>
      </c>
      <c r="F31" s="143">
        <v>84</v>
      </c>
      <c r="G31" s="143">
        <v>84</v>
      </c>
      <c r="H31" s="143">
        <f t="shared" si="0"/>
        <v>100</v>
      </c>
      <c r="I31" s="143">
        <v>84</v>
      </c>
      <c r="J31" s="143">
        <f t="shared" si="1"/>
        <v>100</v>
      </c>
      <c r="K31" s="143">
        <f t="shared" si="2"/>
        <v>76</v>
      </c>
      <c r="L31" s="143">
        <f t="shared" si="3"/>
        <v>76</v>
      </c>
      <c r="M31" s="143">
        <v>12.2</v>
      </c>
      <c r="N31" s="143">
        <v>14.6</v>
      </c>
      <c r="O31" s="143">
        <f t="shared" si="4"/>
        <v>119.67213114754098</v>
      </c>
      <c r="P31" s="143">
        <v>14.6</v>
      </c>
      <c r="Q31" s="143">
        <f t="shared" si="5"/>
        <v>100</v>
      </c>
      <c r="R31" s="143">
        <f t="shared" si="6"/>
        <v>13.14</v>
      </c>
      <c r="S31" s="143">
        <f t="shared" si="7"/>
        <v>13.14</v>
      </c>
    </row>
    <row r="32" spans="1:19" ht="22.5" customHeight="1">
      <c r="A32" s="291" t="s">
        <v>263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210">
        <f>SUM(M14:M31)</f>
        <v>137009.70000000001</v>
      </c>
      <c r="N32" s="210">
        <f>SUM(N14:N31)</f>
        <v>178304.50000000003</v>
      </c>
      <c r="O32" s="210">
        <f>N32/M32*100</f>
        <v>130.14005577707272</v>
      </c>
      <c r="P32" s="210">
        <f t="shared" ref="P32" si="8">SUM(P14:P31)</f>
        <v>186150.29999999996</v>
      </c>
      <c r="Q32" s="210">
        <f>P32/N32*100</f>
        <v>104.40022545701311</v>
      </c>
      <c r="R32" s="210">
        <f t="shared" ref="R32:S32" si="9">SUM(R14:R31)</f>
        <v>167535.26999999999</v>
      </c>
      <c r="S32" s="210">
        <f t="shared" si="9"/>
        <v>167535.26999999999</v>
      </c>
    </row>
  </sheetData>
  <mergeCells count="13">
    <mergeCell ref="A4:S4"/>
    <mergeCell ref="A5:S5"/>
    <mergeCell ref="A32:L32"/>
    <mergeCell ref="A2:S2"/>
    <mergeCell ref="A9:A11"/>
    <mergeCell ref="B9:B11"/>
    <mergeCell ref="C9:C11"/>
    <mergeCell ref="D9:L9"/>
    <mergeCell ref="M9:S9"/>
    <mergeCell ref="D10:D11"/>
    <mergeCell ref="E10:E11"/>
    <mergeCell ref="F10:L10"/>
    <mergeCell ref="M10:S10"/>
  </mergeCells>
  <pageMargins left="0.11811023622047245" right="0.11811023622047245" top="0.55118110236220474" bottom="0.55118110236220474" header="0.31496062992125984" footer="0.31496062992125984"/>
  <pageSetup paperSize="9" scale="6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8" sqref="G8"/>
    </sheetView>
  </sheetViews>
  <sheetFormatPr defaultRowHeight="15"/>
  <cols>
    <col min="1" max="1" width="5.7109375" customWidth="1"/>
    <col min="2" max="2" width="29.85546875" customWidth="1"/>
    <col min="3" max="3" width="36" customWidth="1"/>
    <col min="4" max="4" width="21.140625" customWidth="1"/>
    <col min="5" max="5" width="16.140625" customWidth="1"/>
    <col min="6" max="6" width="13.14062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4.140625" customWidth="1"/>
    <col min="15" max="15" width="12.42578125" customWidth="1"/>
    <col min="16" max="16" width="12.28515625" customWidth="1"/>
    <col min="17" max="17" width="10.28515625" customWidth="1"/>
    <col min="18" max="18" width="11.85546875" customWidth="1"/>
    <col min="19" max="19" width="12.5703125" customWidth="1"/>
  </cols>
  <sheetData>
    <row r="1" spans="1:19" ht="15" customHeight="1"/>
    <row r="2" spans="1:19" ht="23.25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7" t="s">
        <v>386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/>
    <row r="6" spans="1:19" ht="36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19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</row>
    <row r="8" spans="1:19" ht="72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8" t="s">
        <v>14</v>
      </c>
      <c r="J8" s="51" t="s">
        <v>15</v>
      </c>
      <c r="K8" s="48" t="s">
        <v>16</v>
      </c>
      <c r="L8" s="48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</row>
    <row r="9" spans="1:19" ht="15.75" customHeight="1">
      <c r="A9" s="125">
        <v>1</v>
      </c>
      <c r="B9" s="17" t="s">
        <v>18</v>
      </c>
      <c r="C9" s="17" t="s">
        <v>19</v>
      </c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17" t="s">
        <v>30</v>
      </c>
      <c r="O9" s="17" t="s">
        <v>31</v>
      </c>
      <c r="P9" s="17" t="s">
        <v>32</v>
      </c>
      <c r="Q9" s="17" t="s">
        <v>33</v>
      </c>
      <c r="R9" s="17" t="s">
        <v>34</v>
      </c>
      <c r="S9" s="17" t="s">
        <v>35</v>
      </c>
    </row>
    <row r="10" spans="1:19" ht="42" customHeight="1">
      <c r="A10" s="286">
        <v>1</v>
      </c>
      <c r="B10" s="284" t="s">
        <v>364</v>
      </c>
      <c r="C10" s="283" t="s">
        <v>365</v>
      </c>
      <c r="D10" s="55" t="s">
        <v>366</v>
      </c>
      <c r="E10" s="55" t="s">
        <v>367</v>
      </c>
      <c r="F10" s="55">
        <v>69</v>
      </c>
      <c r="G10" s="120">
        <v>69</v>
      </c>
      <c r="H10" s="121">
        <f>SUM(G10/F10)*100</f>
        <v>100</v>
      </c>
      <c r="I10" s="120">
        <v>69</v>
      </c>
      <c r="J10" s="121">
        <f>SUM(I10)/G10*100</f>
        <v>100</v>
      </c>
      <c r="K10" s="120">
        <v>69</v>
      </c>
      <c r="L10" s="120">
        <v>69</v>
      </c>
      <c r="M10" s="282">
        <v>71244.5</v>
      </c>
      <c r="N10" s="282">
        <v>72099.600000000006</v>
      </c>
      <c r="O10" s="287">
        <f>SUM(N10)/M10*100</f>
        <v>101.20023300044214</v>
      </c>
      <c r="P10" s="282">
        <v>75968.7</v>
      </c>
      <c r="Q10" s="282">
        <f>SUM(P10)/N10*100</f>
        <v>105.36632658156215</v>
      </c>
      <c r="R10" s="282">
        <v>68371.8</v>
      </c>
      <c r="S10" s="282">
        <v>68371.8</v>
      </c>
    </row>
    <row r="11" spans="1:19" ht="32.25" customHeight="1">
      <c r="A11" s="286"/>
      <c r="B11" s="284"/>
      <c r="C11" s="283"/>
      <c r="D11" s="55" t="s">
        <v>368</v>
      </c>
      <c r="E11" s="55" t="s">
        <v>369</v>
      </c>
      <c r="F11" s="120">
        <v>136719.5</v>
      </c>
      <c r="G11" s="120">
        <v>142832</v>
      </c>
      <c r="H11" s="121">
        <f t="shared" ref="H11:H14" si="0">SUM(G11/F11)*100</f>
        <v>104.47083261714678</v>
      </c>
      <c r="I11" s="120">
        <v>142832</v>
      </c>
      <c r="J11" s="121">
        <f t="shared" ref="J11:J18" si="1">SUM(I11)/G11*100</f>
        <v>100</v>
      </c>
      <c r="K11" s="120">
        <v>142832</v>
      </c>
      <c r="L11" s="120">
        <v>142832</v>
      </c>
      <c r="M11" s="282"/>
      <c r="N11" s="282"/>
      <c r="O11" s="287"/>
      <c r="P11" s="282"/>
      <c r="Q11" s="282"/>
      <c r="R11" s="282"/>
      <c r="S11" s="282"/>
    </row>
    <row r="12" spans="1:19" ht="27.6" customHeight="1">
      <c r="A12" s="286"/>
      <c r="B12" s="284"/>
      <c r="C12" s="283"/>
      <c r="D12" s="55" t="s">
        <v>370</v>
      </c>
      <c r="E12" s="55" t="s">
        <v>371</v>
      </c>
      <c r="F12" s="120">
        <v>1556677</v>
      </c>
      <c r="G12" s="120">
        <v>1655000</v>
      </c>
      <c r="H12" s="121">
        <f t="shared" si="0"/>
        <v>106.31621074892222</v>
      </c>
      <c r="I12" s="120">
        <v>1655000</v>
      </c>
      <c r="J12" s="121">
        <f t="shared" si="1"/>
        <v>100</v>
      </c>
      <c r="K12" s="120">
        <v>1655000</v>
      </c>
      <c r="L12" s="120">
        <v>1655000</v>
      </c>
      <c r="M12" s="282"/>
      <c r="N12" s="282"/>
      <c r="O12" s="287"/>
      <c r="P12" s="282"/>
      <c r="Q12" s="282"/>
      <c r="R12" s="282"/>
      <c r="S12" s="282"/>
    </row>
    <row r="13" spans="1:19" ht="36" customHeight="1">
      <c r="A13" s="55">
        <v>2</v>
      </c>
      <c r="B13" s="119" t="s">
        <v>372</v>
      </c>
      <c r="C13" s="55" t="s">
        <v>373</v>
      </c>
      <c r="D13" s="55" t="s">
        <v>374</v>
      </c>
      <c r="E13" s="55" t="s">
        <v>375</v>
      </c>
      <c r="F13" s="120">
        <v>13310</v>
      </c>
      <c r="G13" s="120">
        <v>13310</v>
      </c>
      <c r="H13" s="121">
        <f t="shared" si="0"/>
        <v>100</v>
      </c>
      <c r="I13" s="120">
        <v>13310</v>
      </c>
      <c r="J13" s="121">
        <f t="shared" si="1"/>
        <v>100</v>
      </c>
      <c r="K13" s="120">
        <v>13310</v>
      </c>
      <c r="L13" s="120">
        <v>13310</v>
      </c>
      <c r="M13" s="122">
        <v>2418</v>
      </c>
      <c r="N13" s="122">
        <v>3437.85</v>
      </c>
      <c r="O13" s="122">
        <f>SUM(N13)/M13*100</f>
        <v>142.17741935483869</v>
      </c>
      <c r="P13" s="122">
        <v>3622.3</v>
      </c>
      <c r="Q13" s="122">
        <f>SUM(P13)/N13*100</f>
        <v>105.36527189958842</v>
      </c>
      <c r="R13" s="122">
        <v>3260.1</v>
      </c>
      <c r="S13" s="122">
        <v>3260.1</v>
      </c>
    </row>
    <row r="14" spans="1:19" ht="96.75" customHeight="1">
      <c r="A14" s="55">
        <v>3</v>
      </c>
      <c r="B14" s="119" t="s">
        <v>349</v>
      </c>
      <c r="C14" s="55" t="s">
        <v>376</v>
      </c>
      <c r="D14" s="55" t="s">
        <v>377</v>
      </c>
      <c r="E14" s="55" t="s">
        <v>375</v>
      </c>
      <c r="F14" s="120">
        <v>3622.2</v>
      </c>
      <c r="G14" s="120">
        <v>3622.2</v>
      </c>
      <c r="H14" s="121">
        <f t="shared" si="0"/>
        <v>100</v>
      </c>
      <c r="I14" s="120">
        <v>3622.2</v>
      </c>
      <c r="J14" s="121">
        <f t="shared" si="1"/>
        <v>100</v>
      </c>
      <c r="K14" s="120">
        <v>3622.2</v>
      </c>
      <c r="L14" s="120">
        <v>3622.2</v>
      </c>
      <c r="M14" s="123">
        <v>18269.7</v>
      </c>
      <c r="N14" s="123">
        <v>21121.9</v>
      </c>
      <c r="O14" s="123">
        <f>SUM(N14)/M14*100</f>
        <v>115.61164113258565</v>
      </c>
      <c r="P14" s="123">
        <v>22014</v>
      </c>
      <c r="Q14" s="123">
        <f>SUM(P14)/N14*100</f>
        <v>104.22357837126395</v>
      </c>
      <c r="R14" s="123">
        <v>19812.599999999999</v>
      </c>
      <c r="S14" s="123">
        <v>19812.599999999999</v>
      </c>
    </row>
    <row r="15" spans="1:19" ht="90">
      <c r="A15" s="55">
        <v>4</v>
      </c>
      <c r="B15" s="119" t="s">
        <v>349</v>
      </c>
      <c r="C15" s="55" t="s">
        <v>376</v>
      </c>
      <c r="D15" s="55" t="s">
        <v>378</v>
      </c>
      <c r="E15" s="55" t="s">
        <v>375</v>
      </c>
      <c r="F15" s="120">
        <v>30237.5</v>
      </c>
      <c r="G15" s="120">
        <f>18009.8+21573.5</f>
        <v>39583.300000000003</v>
      </c>
      <c r="H15" s="121">
        <f>SUM(G15/F15)*100</f>
        <v>130.90797850351385</v>
      </c>
      <c r="I15" s="120">
        <f>18009.8+21573.5</f>
        <v>39583.300000000003</v>
      </c>
      <c r="J15" s="121">
        <f t="shared" si="1"/>
        <v>100</v>
      </c>
      <c r="K15" s="120">
        <f>18009.8+21573.5</f>
        <v>39583.300000000003</v>
      </c>
      <c r="L15" s="120">
        <f>18009.8+21573.5</f>
        <v>39583.300000000003</v>
      </c>
      <c r="M15" s="123">
        <v>124952.08865999999</v>
      </c>
      <c r="N15" s="13">
        <f>119686.5+49963.3</f>
        <v>169649.8</v>
      </c>
      <c r="O15" s="13">
        <f>SUM(N15)/M15*100</f>
        <v>135.77188010167993</v>
      </c>
      <c r="P15" s="13">
        <f>100463.7+71571</f>
        <v>172034.7</v>
      </c>
      <c r="Q15" s="13">
        <f>SUM(P15)/N15*100</f>
        <v>101.40577825614885</v>
      </c>
      <c r="R15" s="13">
        <f>90417.33+64413.9</f>
        <v>154831.23000000001</v>
      </c>
      <c r="S15" s="13">
        <f>90417.33+64413.9</f>
        <v>154831.23000000001</v>
      </c>
    </row>
    <row r="16" spans="1:19" ht="64.150000000000006" hidden="1" customHeight="1">
      <c r="A16" s="283">
        <v>6</v>
      </c>
      <c r="B16" s="284" t="s">
        <v>379</v>
      </c>
      <c r="C16" s="283" t="s">
        <v>380</v>
      </c>
      <c r="D16" s="55" t="s">
        <v>381</v>
      </c>
      <c r="E16" s="55" t="s">
        <v>382</v>
      </c>
      <c r="F16" s="55" t="s">
        <v>39</v>
      </c>
      <c r="G16" s="55" t="s">
        <v>39</v>
      </c>
      <c r="H16" s="285" t="s">
        <v>39</v>
      </c>
      <c r="I16" s="55" t="s">
        <v>39</v>
      </c>
      <c r="J16" s="285" t="s">
        <v>39</v>
      </c>
      <c r="K16" s="55" t="s">
        <v>39</v>
      </c>
      <c r="L16" s="55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</row>
    <row r="17" spans="1:19" ht="81" hidden="1" customHeight="1">
      <c r="A17" s="283"/>
      <c r="B17" s="284"/>
      <c r="C17" s="283"/>
      <c r="D17" s="55" t="s">
        <v>383</v>
      </c>
      <c r="E17" s="55" t="s">
        <v>182</v>
      </c>
      <c r="F17" s="55" t="s">
        <v>39</v>
      </c>
      <c r="G17" s="55" t="s">
        <v>39</v>
      </c>
      <c r="H17" s="285"/>
      <c r="I17" s="55" t="s">
        <v>39</v>
      </c>
      <c r="J17" s="285"/>
      <c r="K17" s="55" t="s">
        <v>39</v>
      </c>
      <c r="L17" s="55" t="s">
        <v>39</v>
      </c>
      <c r="M17" s="13" t="s">
        <v>39</v>
      </c>
      <c r="N17" s="13" t="s">
        <v>39</v>
      </c>
      <c r="O17" s="13" t="s">
        <v>39</v>
      </c>
      <c r="P17" s="13" t="s">
        <v>39</v>
      </c>
      <c r="Q17" s="13" t="s">
        <v>39</v>
      </c>
      <c r="R17" s="13" t="s">
        <v>39</v>
      </c>
      <c r="S17" s="13" t="s">
        <v>39</v>
      </c>
    </row>
    <row r="18" spans="1:19" ht="78.599999999999994" customHeight="1">
      <c r="A18" s="55">
        <v>5</v>
      </c>
      <c r="B18" s="119" t="s">
        <v>384</v>
      </c>
      <c r="C18" s="55" t="s">
        <v>385</v>
      </c>
      <c r="D18" s="55" t="s">
        <v>175</v>
      </c>
      <c r="E18" s="55" t="s">
        <v>382</v>
      </c>
      <c r="F18" s="55">
        <v>90</v>
      </c>
      <c r="G18" s="55">
        <v>95</v>
      </c>
      <c r="H18" s="121">
        <f>SUM(G18/F18)*100</f>
        <v>105.55555555555556</v>
      </c>
      <c r="I18" s="12">
        <v>90</v>
      </c>
      <c r="J18" s="121">
        <f t="shared" si="1"/>
        <v>94.73684210526315</v>
      </c>
      <c r="K18" s="12">
        <v>90</v>
      </c>
      <c r="L18" s="12">
        <v>90</v>
      </c>
      <c r="M18" s="123">
        <v>13967.66949</v>
      </c>
      <c r="N18" s="123">
        <v>18557.736730000001</v>
      </c>
      <c r="O18" s="123">
        <f>SUM(N18)/M18*100</f>
        <v>132.8620837089982</v>
      </c>
      <c r="P18" s="123">
        <v>17307</v>
      </c>
      <c r="Q18" s="123">
        <f>SUM(P18)/N18*100</f>
        <v>93.26029489372975</v>
      </c>
      <c r="R18" s="123">
        <v>15576.3</v>
      </c>
      <c r="S18" s="123">
        <v>15576.3</v>
      </c>
    </row>
    <row r="19" spans="1:19" ht="23.45" customHeight="1">
      <c r="A19" s="281" t="s">
        <v>263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124">
        <f>SUM(M10:M18)</f>
        <v>230851.95814999999</v>
      </c>
      <c r="N19" s="124">
        <f>SUM(N10:N18)</f>
        <v>284866.88673000003</v>
      </c>
      <c r="O19" s="124">
        <f>N19/M19*100</f>
        <v>123.39808118279115</v>
      </c>
      <c r="P19" s="124">
        <f>SUM(P10:P18)</f>
        <v>290946.7</v>
      </c>
      <c r="Q19" s="124">
        <f>P19/N19*100</f>
        <v>102.13426465244537</v>
      </c>
      <c r="R19" s="124">
        <f>SUM(R10:R18)</f>
        <v>261852.03</v>
      </c>
      <c r="S19" s="124">
        <f>SUM(S10:S18)</f>
        <v>261852.03</v>
      </c>
    </row>
  </sheetData>
  <mergeCells count="26"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  <mergeCell ref="A19:L19"/>
    <mergeCell ref="P10:P12"/>
    <mergeCell ref="Q10:Q12"/>
    <mergeCell ref="R10:R12"/>
    <mergeCell ref="S10:S12"/>
    <mergeCell ref="A16:A17"/>
    <mergeCell ref="B16:B17"/>
    <mergeCell ref="C16:C17"/>
    <mergeCell ref="H16:H17"/>
    <mergeCell ref="J16:J17"/>
    <mergeCell ref="A10:A12"/>
    <mergeCell ref="B10:B12"/>
    <mergeCell ref="C10:C12"/>
    <mergeCell ref="M10:M12"/>
    <mergeCell ref="N10:N12"/>
    <mergeCell ref="O10:O12"/>
  </mergeCells>
  <pageMargins left="0.11811023622047245" right="0.11811023622047245" top="0.55118110236220474" bottom="0.55118110236220474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90" zoomScaleNormal="90" workbookViewId="0">
      <selection activeCell="P11" sqref="P11"/>
    </sheetView>
  </sheetViews>
  <sheetFormatPr defaultRowHeight="15"/>
  <cols>
    <col min="1" max="1" width="5.7109375" customWidth="1"/>
    <col min="2" max="2" width="35" customWidth="1"/>
    <col min="3" max="3" width="20.42578125" customWidth="1"/>
    <col min="4" max="4" width="18.5703125" customWidth="1"/>
    <col min="5" max="5" width="10.42578125" customWidth="1"/>
    <col min="6" max="6" width="11.2851562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9.42578125" customWidth="1"/>
    <col min="16" max="16" width="12.140625" customWidth="1"/>
    <col min="17" max="17" width="10" customWidth="1"/>
    <col min="18" max="18" width="11.85546875" customWidth="1"/>
    <col min="19" max="19" width="12.5703125" customWidth="1"/>
  </cols>
  <sheetData>
    <row r="1" spans="1:19" ht="17.25" customHeight="1"/>
    <row r="2" spans="1:19" ht="19.5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7" t="s">
        <v>348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" customHeight="1"/>
    <row r="6" spans="1:19" ht="42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19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</row>
    <row r="8" spans="1:19" ht="78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8" t="s">
        <v>14</v>
      </c>
      <c r="J8" s="51" t="s">
        <v>15</v>
      </c>
      <c r="K8" s="48" t="s">
        <v>16</v>
      </c>
      <c r="L8" s="48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</row>
    <row r="9" spans="1:19" ht="15.75" customHeight="1">
      <c r="A9" s="125">
        <v>1</v>
      </c>
      <c r="B9" s="17" t="s">
        <v>18</v>
      </c>
      <c r="C9" s="17" t="s">
        <v>19</v>
      </c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17" t="s">
        <v>30</v>
      </c>
      <c r="O9" s="17" t="s">
        <v>31</v>
      </c>
      <c r="P9" s="17" t="s">
        <v>32</v>
      </c>
      <c r="Q9" s="17" t="s">
        <v>33</v>
      </c>
      <c r="R9" s="17" t="s">
        <v>34</v>
      </c>
      <c r="S9" s="17" t="s">
        <v>35</v>
      </c>
    </row>
    <row r="10" spans="1:19" ht="70.5" customHeight="1">
      <c r="A10" s="106" t="s">
        <v>339</v>
      </c>
      <c r="B10" s="107" t="s">
        <v>349</v>
      </c>
      <c r="C10" s="108" t="s">
        <v>340</v>
      </c>
      <c r="D10" s="37" t="s">
        <v>350</v>
      </c>
      <c r="E10" s="34" t="s">
        <v>341</v>
      </c>
      <c r="F10" s="34">
        <v>365</v>
      </c>
      <c r="G10" s="34">
        <v>365</v>
      </c>
      <c r="H10" s="110">
        <f>G10/F10*100</f>
        <v>100</v>
      </c>
      <c r="I10" s="34">
        <v>365</v>
      </c>
      <c r="J10" s="110">
        <f>I10/G10*100</f>
        <v>100</v>
      </c>
      <c r="K10" s="34">
        <v>365</v>
      </c>
      <c r="L10" s="34">
        <v>365</v>
      </c>
      <c r="M10" s="111">
        <v>877.31</v>
      </c>
      <c r="N10" s="111">
        <v>844.6</v>
      </c>
      <c r="O10" s="110">
        <f>N10/M10*100</f>
        <v>96.271557374246285</v>
      </c>
      <c r="P10" s="111">
        <v>924.69</v>
      </c>
      <c r="Q10" s="110">
        <f>P10/N10*100</f>
        <v>109.48259531139001</v>
      </c>
      <c r="R10" s="111">
        <v>832.2</v>
      </c>
      <c r="S10" s="111">
        <v>832.2</v>
      </c>
    </row>
    <row r="11" spans="1:19" ht="64.5" customHeight="1">
      <c r="A11" s="106" t="s">
        <v>342</v>
      </c>
      <c r="B11" s="107" t="s">
        <v>349</v>
      </c>
      <c r="C11" s="108" t="s">
        <v>340</v>
      </c>
      <c r="D11" s="37" t="s">
        <v>350</v>
      </c>
      <c r="E11" s="34" t="s">
        <v>343</v>
      </c>
      <c r="F11" s="34">
        <v>365</v>
      </c>
      <c r="G11" s="34">
        <v>365</v>
      </c>
      <c r="H11" s="110">
        <f t="shared" ref="H11:H12" si="0">G11/F11*100</f>
        <v>100</v>
      </c>
      <c r="I11" s="34">
        <v>365</v>
      </c>
      <c r="J11" s="110">
        <f t="shared" ref="J11:J12" si="1">I11/G11*100</f>
        <v>100</v>
      </c>
      <c r="K11" s="34">
        <v>365</v>
      </c>
      <c r="L11" s="34">
        <v>365</v>
      </c>
      <c r="M11" s="111">
        <v>75218.789999999994</v>
      </c>
      <c r="N11" s="111">
        <f>61327.24+31610</f>
        <v>92937.239999999991</v>
      </c>
      <c r="O11" s="110">
        <f t="shared" ref="O11:O13" si="2">N11/M11*100</f>
        <v>123.55588277875779</v>
      </c>
      <c r="P11" s="111">
        <v>94759.41</v>
      </c>
      <c r="Q11" s="110">
        <f t="shared" ref="Q11:Q13" si="3">P11/N11*100</f>
        <v>101.96064570025966</v>
      </c>
      <c r="R11" s="111">
        <v>85283.49</v>
      </c>
      <c r="S11" s="111">
        <v>85283.49</v>
      </c>
    </row>
    <row r="12" spans="1:19" ht="68.25" customHeight="1">
      <c r="A12" s="106" t="s">
        <v>339</v>
      </c>
      <c r="B12" s="107" t="s">
        <v>344</v>
      </c>
      <c r="C12" s="107" t="s">
        <v>345</v>
      </c>
      <c r="D12" s="34" t="s">
        <v>346</v>
      </c>
      <c r="E12" s="34" t="s">
        <v>347</v>
      </c>
      <c r="F12" s="114">
        <f>6+34</f>
        <v>40</v>
      </c>
      <c r="G12" s="114">
        <f>6+25</f>
        <v>31</v>
      </c>
      <c r="H12" s="110">
        <f t="shared" si="0"/>
        <v>77.5</v>
      </c>
      <c r="I12" s="115" t="s">
        <v>89</v>
      </c>
      <c r="J12" s="110">
        <f t="shared" si="1"/>
        <v>96.774193548387103</v>
      </c>
      <c r="K12" s="109" t="s">
        <v>26</v>
      </c>
      <c r="L12" s="109" t="s">
        <v>26</v>
      </c>
      <c r="M12" s="111">
        <v>460.154</v>
      </c>
      <c r="N12" s="111">
        <v>420.1</v>
      </c>
      <c r="O12" s="110">
        <f t="shared" si="2"/>
        <v>91.295522803235443</v>
      </c>
      <c r="P12" s="111">
        <v>600</v>
      </c>
      <c r="Q12" s="110">
        <f t="shared" si="3"/>
        <v>142.82313734825041</v>
      </c>
      <c r="R12" s="111">
        <v>540</v>
      </c>
      <c r="S12" s="111">
        <v>540</v>
      </c>
    </row>
    <row r="13" spans="1:19" ht="18" customHeight="1">
      <c r="A13" s="290" t="s">
        <v>263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105">
        <f>SUM(M10:M12)</f>
        <v>76556.253999999986</v>
      </c>
      <c r="N13" s="261">
        <f t="shared" ref="N13:S13" si="4">SUM(N10:N12)</f>
        <v>94201.94</v>
      </c>
      <c r="O13" s="105">
        <f t="shared" si="2"/>
        <v>123.04930698411655</v>
      </c>
      <c r="P13" s="105">
        <f t="shared" si="4"/>
        <v>96284.1</v>
      </c>
      <c r="Q13" s="105">
        <f t="shared" si="3"/>
        <v>102.21031541388639</v>
      </c>
      <c r="R13" s="105">
        <f t="shared" si="4"/>
        <v>86655.69</v>
      </c>
      <c r="S13" s="105">
        <f t="shared" si="4"/>
        <v>86655.69</v>
      </c>
    </row>
    <row r="15" spans="1:19">
      <c r="N15" s="112"/>
    </row>
    <row r="17" spans="14:14">
      <c r="N17" s="113"/>
    </row>
  </sheetData>
  <mergeCells count="11">
    <mergeCell ref="A13:L13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printOptions horizontalCentered="1"/>
  <pageMargins left="0" right="0" top="0.78740157480314965" bottom="0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90" zoomScaleNormal="90" zoomScaleSheetLayoutView="80" workbookViewId="0">
      <selection activeCell="D16" sqref="D16"/>
    </sheetView>
  </sheetViews>
  <sheetFormatPr defaultRowHeight="15"/>
  <cols>
    <col min="1" max="1" width="5.7109375" customWidth="1"/>
    <col min="2" max="2" width="29" customWidth="1"/>
    <col min="3" max="3" width="45.85546875" customWidth="1"/>
    <col min="4" max="4" width="18.5703125" customWidth="1"/>
    <col min="5" max="5" width="10.42578125" customWidth="1"/>
    <col min="6" max="6" width="11.28515625" customWidth="1"/>
    <col min="7" max="7" width="12" customWidth="1"/>
    <col min="8" max="8" width="9.5703125" customWidth="1"/>
    <col min="9" max="9" width="9.7109375" customWidth="1"/>
    <col min="10" max="10" width="9.42578125" customWidth="1"/>
    <col min="11" max="11" width="11.140625" customWidth="1"/>
    <col min="12" max="12" width="10.85546875" customWidth="1"/>
    <col min="13" max="13" width="10.28515625" customWidth="1"/>
    <col min="14" max="14" width="12.42578125" customWidth="1"/>
    <col min="15" max="15" width="9.42578125" customWidth="1"/>
    <col min="16" max="16" width="9.85546875" customWidth="1"/>
    <col min="17" max="17" width="10" customWidth="1"/>
    <col min="18" max="18" width="11" customWidth="1"/>
    <col min="19" max="19" width="11.7109375" customWidth="1"/>
  </cols>
  <sheetData>
    <row r="1" spans="1:19" ht="12.75" customHeight="1"/>
    <row r="2" spans="1:19" ht="18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7" t="s">
        <v>396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 customHeight="1"/>
    <row r="6" spans="1:19" ht="36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19" ht="19.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10</v>
      </c>
      <c r="N7" s="289"/>
      <c r="O7" s="289"/>
      <c r="P7" s="289"/>
      <c r="Q7" s="289"/>
      <c r="R7" s="289"/>
      <c r="S7" s="289"/>
    </row>
    <row r="8" spans="1:19" ht="78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8" t="s">
        <v>14</v>
      </c>
      <c r="J8" s="51" t="s">
        <v>15</v>
      </c>
      <c r="K8" s="48" t="s">
        <v>16</v>
      </c>
      <c r="L8" s="48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</row>
    <row r="9" spans="1:19" ht="15.75" customHeight="1">
      <c r="A9" s="125">
        <v>1</v>
      </c>
      <c r="B9" s="17" t="s">
        <v>18</v>
      </c>
      <c r="C9" s="17" t="s">
        <v>19</v>
      </c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17" t="s">
        <v>30</v>
      </c>
      <c r="O9" s="17" t="s">
        <v>31</v>
      </c>
      <c r="P9" s="17" t="s">
        <v>32</v>
      </c>
      <c r="Q9" s="17" t="s">
        <v>33</v>
      </c>
      <c r="R9" s="17" t="s">
        <v>34</v>
      </c>
      <c r="S9" s="17" t="s">
        <v>35</v>
      </c>
    </row>
    <row r="10" spans="1:19" s="136" customFormat="1" ht="103.5" customHeight="1">
      <c r="A10" s="19">
        <v>1</v>
      </c>
      <c r="B10" s="101" t="s">
        <v>387</v>
      </c>
      <c r="C10" s="101" t="s">
        <v>387</v>
      </c>
      <c r="D10" s="101" t="s">
        <v>388</v>
      </c>
      <c r="E10" s="101" t="s">
        <v>271</v>
      </c>
      <c r="F10" s="137">
        <v>4</v>
      </c>
      <c r="G10" s="137">
        <v>4</v>
      </c>
      <c r="H10" s="140">
        <f>G10/F10*100</f>
        <v>100</v>
      </c>
      <c r="I10" s="137">
        <v>4</v>
      </c>
      <c r="J10" s="140">
        <f>I10/G10*100</f>
        <v>100</v>
      </c>
      <c r="K10" s="137">
        <v>4</v>
      </c>
      <c r="L10" s="137">
        <v>4</v>
      </c>
      <c r="M10" s="141">
        <v>750.39599999999996</v>
      </c>
      <c r="N10" s="141">
        <v>957.61099999999999</v>
      </c>
      <c r="O10" s="141">
        <f>N10/M10*100</f>
        <v>127.61408642903214</v>
      </c>
      <c r="P10" s="141">
        <v>995.76455999999996</v>
      </c>
      <c r="Q10" s="141">
        <f>P10/N10*100</f>
        <v>103.98424412417985</v>
      </c>
      <c r="R10" s="141">
        <v>995.76455999999996</v>
      </c>
      <c r="S10" s="141">
        <v>995.76455999999996</v>
      </c>
    </row>
    <row r="11" spans="1:19" ht="216" customHeight="1">
      <c r="A11" s="19">
        <v>2</v>
      </c>
      <c r="B11" s="138" t="s">
        <v>389</v>
      </c>
      <c r="C11" s="101" t="s">
        <v>390</v>
      </c>
      <c r="D11" s="138" t="s">
        <v>391</v>
      </c>
      <c r="E11" s="138" t="s">
        <v>392</v>
      </c>
      <c r="F11" s="139" t="s">
        <v>393</v>
      </c>
      <c r="G11" s="139" t="s">
        <v>394</v>
      </c>
      <c r="H11" s="140">
        <f>G11/F11*100</f>
        <v>121.54696132596685</v>
      </c>
      <c r="I11" s="139" t="s">
        <v>395</v>
      </c>
      <c r="J11" s="140">
        <f>I11/G11*100</f>
        <v>81.818181818181827</v>
      </c>
      <c r="K11" s="139" t="s">
        <v>395</v>
      </c>
      <c r="L11" s="139" t="s">
        <v>395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</row>
    <row r="12" spans="1:19" ht="16.5" customHeight="1">
      <c r="A12" s="291" t="s">
        <v>263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3"/>
      <c r="M12" s="142">
        <f>SUM(M10:M11)</f>
        <v>750.39599999999996</v>
      </c>
      <c r="N12" s="142">
        <f t="shared" ref="N12:S12" si="0">SUM(N10:N11)</f>
        <v>957.61099999999999</v>
      </c>
      <c r="O12" s="142">
        <f>N12/M12*100</f>
        <v>127.61408642903214</v>
      </c>
      <c r="P12" s="142">
        <f t="shared" si="0"/>
        <v>995.76455999999996</v>
      </c>
      <c r="Q12" s="142">
        <f>P12/N12*100</f>
        <v>103.98424412417985</v>
      </c>
      <c r="R12" s="142">
        <f t="shared" si="0"/>
        <v>995.76455999999996</v>
      </c>
      <c r="S12" s="142">
        <f t="shared" si="0"/>
        <v>995.76455999999996</v>
      </c>
    </row>
  </sheetData>
  <mergeCells count="11">
    <mergeCell ref="A12:L12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pageMargins left="0.11811023622047245" right="0.11811023622047245" top="0.55118110236220474" bottom="0.55118110236220474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90" zoomScaleNormal="90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Q12" sqref="Q12:Q13"/>
    </sheetView>
  </sheetViews>
  <sheetFormatPr defaultRowHeight="15"/>
  <cols>
    <col min="1" max="1" width="5.7109375" customWidth="1"/>
    <col min="2" max="2" width="29" customWidth="1"/>
    <col min="3" max="3" width="20.5703125" customWidth="1"/>
    <col min="4" max="4" width="31.42578125" customWidth="1"/>
    <col min="5" max="5" width="10.42578125" customWidth="1"/>
    <col min="6" max="6" width="11.28515625" customWidth="1"/>
    <col min="7" max="7" width="13" customWidth="1"/>
    <col min="8" max="8" width="9.5703125" customWidth="1"/>
    <col min="9" max="9" width="10.85546875" customWidth="1"/>
    <col min="10" max="10" width="9.85546875" customWidth="1"/>
    <col min="11" max="11" width="12.140625" customWidth="1"/>
    <col min="12" max="12" width="12" customWidth="1"/>
    <col min="13" max="13" width="12.28515625" customWidth="1"/>
    <col min="14" max="14" width="12.42578125" customWidth="1"/>
    <col min="15" max="15" width="10.140625" customWidth="1"/>
    <col min="16" max="16" width="12.140625" customWidth="1"/>
    <col min="17" max="17" width="10" customWidth="1"/>
    <col min="18" max="18" width="11.85546875" customWidth="1"/>
    <col min="19" max="19" width="12.5703125" customWidth="1"/>
  </cols>
  <sheetData>
    <row r="1" spans="1:21" ht="15" customHeight="1"/>
    <row r="2" spans="1:21" ht="21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1" ht="24" customHeight="1">
      <c r="A3" s="27" t="s">
        <v>362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5" customHeight="1"/>
    <row r="5" spans="1:21" ht="42.75" customHeight="1">
      <c r="A5" s="289" t="s">
        <v>3</v>
      </c>
      <c r="B5" s="289" t="s">
        <v>4</v>
      </c>
      <c r="C5" s="289" t="s">
        <v>5</v>
      </c>
      <c r="D5" s="289" t="s">
        <v>180</v>
      </c>
      <c r="E5" s="289"/>
      <c r="F5" s="289"/>
      <c r="G5" s="289"/>
      <c r="H5" s="289"/>
      <c r="I5" s="289"/>
      <c r="J5" s="289"/>
      <c r="K5" s="289"/>
      <c r="L5" s="289"/>
      <c r="M5" s="283" t="s">
        <v>6</v>
      </c>
      <c r="N5" s="283"/>
      <c r="O5" s="283"/>
      <c r="P5" s="283"/>
      <c r="Q5" s="283"/>
      <c r="R5" s="283"/>
      <c r="S5" s="283"/>
    </row>
    <row r="6" spans="1:21" ht="19.5" customHeight="1">
      <c r="A6" s="289"/>
      <c r="B6" s="289"/>
      <c r="C6" s="289"/>
      <c r="D6" s="289" t="s">
        <v>7</v>
      </c>
      <c r="E6" s="289" t="s">
        <v>8</v>
      </c>
      <c r="F6" s="289" t="s">
        <v>9</v>
      </c>
      <c r="G6" s="289"/>
      <c r="H6" s="289"/>
      <c r="I6" s="289"/>
      <c r="J6" s="289"/>
      <c r="K6" s="289"/>
      <c r="L6" s="289"/>
      <c r="M6" s="289" t="s">
        <v>10</v>
      </c>
      <c r="N6" s="289"/>
      <c r="O6" s="289"/>
      <c r="P6" s="289"/>
      <c r="Q6" s="289"/>
      <c r="R6" s="289"/>
      <c r="S6" s="289"/>
      <c r="T6" s="2"/>
      <c r="U6" s="2"/>
    </row>
    <row r="7" spans="1:21" ht="78" customHeight="1">
      <c r="A7" s="289"/>
      <c r="B7" s="289"/>
      <c r="C7" s="289"/>
      <c r="D7" s="289"/>
      <c r="E7" s="289"/>
      <c r="F7" s="48" t="s">
        <v>11</v>
      </c>
      <c r="G7" s="48" t="s">
        <v>12</v>
      </c>
      <c r="H7" s="51" t="s">
        <v>13</v>
      </c>
      <c r="I7" s="48" t="s">
        <v>14</v>
      </c>
      <c r="J7" s="51" t="s">
        <v>15</v>
      </c>
      <c r="K7" s="48" t="s">
        <v>16</v>
      </c>
      <c r="L7" s="48" t="s">
        <v>17</v>
      </c>
      <c r="M7" s="48" t="s">
        <v>11</v>
      </c>
      <c r="N7" s="48" t="s">
        <v>12</v>
      </c>
      <c r="O7" s="51" t="s">
        <v>13</v>
      </c>
      <c r="P7" s="48" t="s">
        <v>14</v>
      </c>
      <c r="Q7" s="51" t="s">
        <v>15</v>
      </c>
      <c r="R7" s="48" t="s">
        <v>16</v>
      </c>
      <c r="S7" s="48" t="s">
        <v>17</v>
      </c>
      <c r="T7" s="2"/>
      <c r="U7" s="2"/>
    </row>
    <row r="8" spans="1:21" ht="15.75" customHeight="1">
      <c r="A8" s="52">
        <v>1</v>
      </c>
      <c r="B8" s="53" t="s">
        <v>18</v>
      </c>
      <c r="C8" s="53" t="s">
        <v>19</v>
      </c>
      <c r="D8" s="53" t="s">
        <v>20</v>
      </c>
      <c r="E8" s="53" t="s">
        <v>21</v>
      </c>
      <c r="F8" s="53" t="s">
        <v>22</v>
      </c>
      <c r="G8" s="53" t="s">
        <v>23</v>
      </c>
      <c r="H8" s="53" t="s">
        <v>24</v>
      </c>
      <c r="I8" s="53" t="s">
        <v>25</v>
      </c>
      <c r="J8" s="53" t="s">
        <v>26</v>
      </c>
      <c r="K8" s="53" t="s">
        <v>27</v>
      </c>
      <c r="L8" s="53" t="s">
        <v>28</v>
      </c>
      <c r="M8" s="53" t="s">
        <v>29</v>
      </c>
      <c r="N8" s="53" t="s">
        <v>30</v>
      </c>
      <c r="O8" s="53" t="s">
        <v>31</v>
      </c>
      <c r="P8" s="53" t="s">
        <v>32</v>
      </c>
      <c r="Q8" s="53" t="s">
        <v>33</v>
      </c>
      <c r="R8" s="53" t="s">
        <v>34</v>
      </c>
      <c r="S8" s="53" t="s">
        <v>35</v>
      </c>
      <c r="T8" s="2"/>
      <c r="U8" s="2"/>
    </row>
    <row r="9" spans="1:21" ht="63.75" customHeight="1">
      <c r="A9" s="34">
        <v>1</v>
      </c>
      <c r="B9" s="37" t="s">
        <v>351</v>
      </c>
      <c r="C9" s="37" t="s">
        <v>352</v>
      </c>
      <c r="D9" s="107" t="s">
        <v>363</v>
      </c>
      <c r="E9" s="34" t="s">
        <v>359</v>
      </c>
      <c r="F9" s="34">
        <v>97.6</v>
      </c>
      <c r="G9" s="34">
        <v>97.6</v>
      </c>
      <c r="H9" s="110">
        <f>G9/F9*100</f>
        <v>100</v>
      </c>
      <c r="I9" s="34">
        <v>97.6</v>
      </c>
      <c r="J9" s="110">
        <f>I9/G9*100</f>
        <v>100</v>
      </c>
      <c r="K9" s="34">
        <v>97.6</v>
      </c>
      <c r="L9" s="34">
        <v>97.6</v>
      </c>
      <c r="M9" s="111">
        <v>14780.2</v>
      </c>
      <c r="N9" s="111">
        <v>12106.9</v>
      </c>
      <c r="O9" s="111">
        <f>N9/M9*100</f>
        <v>81.91296464188575</v>
      </c>
      <c r="P9" s="111">
        <v>12589</v>
      </c>
      <c r="Q9" s="111">
        <f>P9/N9*100</f>
        <v>103.98202677811827</v>
      </c>
      <c r="R9" s="111">
        <f>P9*90%</f>
        <v>11330.1</v>
      </c>
      <c r="S9" s="111">
        <f>R9</f>
        <v>11330.1</v>
      </c>
    </row>
    <row r="10" spans="1:21" s="116" customFormat="1" ht="93.75" customHeight="1">
      <c r="A10" s="295">
        <v>2</v>
      </c>
      <c r="B10" s="296" t="s">
        <v>353</v>
      </c>
      <c r="C10" s="296" t="s">
        <v>354</v>
      </c>
      <c r="D10" s="117" t="s">
        <v>355</v>
      </c>
      <c r="E10" s="118" t="s">
        <v>356</v>
      </c>
      <c r="F10" s="118" t="s">
        <v>357</v>
      </c>
      <c r="G10" s="118" t="s">
        <v>357</v>
      </c>
      <c r="H10" s="110" t="s">
        <v>39</v>
      </c>
      <c r="I10" s="118" t="s">
        <v>357</v>
      </c>
      <c r="J10" s="110" t="s">
        <v>39</v>
      </c>
      <c r="K10" s="118" t="s">
        <v>357</v>
      </c>
      <c r="L10" s="118" t="s">
        <v>357</v>
      </c>
      <c r="M10" s="294">
        <v>50232.15</v>
      </c>
      <c r="N10" s="294">
        <v>57146.1</v>
      </c>
      <c r="O10" s="294">
        <f>N10/M10*100</f>
        <v>113.76399377689388</v>
      </c>
      <c r="P10" s="294">
        <v>62740.1</v>
      </c>
      <c r="Q10" s="294">
        <f>P10/N10*100</f>
        <v>109.7889444774009</v>
      </c>
      <c r="R10" s="294">
        <v>56466.09</v>
      </c>
      <c r="S10" s="294">
        <v>56466.09</v>
      </c>
    </row>
    <row r="11" spans="1:21" s="116" customFormat="1" ht="75">
      <c r="A11" s="295"/>
      <c r="B11" s="296"/>
      <c r="C11" s="296"/>
      <c r="D11" s="117" t="s">
        <v>358</v>
      </c>
      <c r="E11" s="34" t="s">
        <v>359</v>
      </c>
      <c r="F11" s="34">
        <v>100</v>
      </c>
      <c r="G11" s="34">
        <v>100</v>
      </c>
      <c r="H11" s="110">
        <f t="shared" ref="H11:H13" si="0">G11/F11*100</f>
        <v>100</v>
      </c>
      <c r="I11" s="34">
        <v>100</v>
      </c>
      <c r="J11" s="110">
        <f t="shared" ref="J11:J13" si="1">I11/G11*100</f>
        <v>100</v>
      </c>
      <c r="K11" s="34">
        <v>100</v>
      </c>
      <c r="L11" s="34">
        <v>100</v>
      </c>
      <c r="M11" s="294"/>
      <c r="N11" s="294"/>
      <c r="O11" s="294"/>
      <c r="P11" s="294"/>
      <c r="Q11" s="294"/>
      <c r="R11" s="294"/>
      <c r="S11" s="294"/>
    </row>
    <row r="12" spans="1:21" s="116" customFormat="1" ht="93.75" customHeight="1">
      <c r="A12" s="295">
        <v>3</v>
      </c>
      <c r="B12" s="296" t="s">
        <v>360</v>
      </c>
      <c r="C12" s="296" t="s">
        <v>361</v>
      </c>
      <c r="D12" s="117" t="s">
        <v>355</v>
      </c>
      <c r="E12" s="118" t="s">
        <v>356</v>
      </c>
      <c r="F12" s="118" t="s">
        <v>357</v>
      </c>
      <c r="G12" s="118" t="s">
        <v>357</v>
      </c>
      <c r="H12" s="110" t="s">
        <v>39</v>
      </c>
      <c r="I12" s="118" t="s">
        <v>357</v>
      </c>
      <c r="J12" s="110" t="s">
        <v>39</v>
      </c>
      <c r="K12" s="118" t="s">
        <v>357</v>
      </c>
      <c r="L12" s="118" t="s">
        <v>357</v>
      </c>
      <c r="M12" s="294">
        <v>600</v>
      </c>
      <c r="N12" s="294">
        <v>100</v>
      </c>
      <c r="O12" s="294">
        <f>N12/M12*100</f>
        <v>16.666666666666664</v>
      </c>
      <c r="P12" s="294">
        <v>600</v>
      </c>
      <c r="Q12" s="294">
        <f>P12/N12*100</f>
        <v>600</v>
      </c>
      <c r="R12" s="294">
        <v>540</v>
      </c>
      <c r="S12" s="294">
        <v>540</v>
      </c>
    </row>
    <row r="13" spans="1:21" s="116" customFormat="1" ht="77.25" customHeight="1">
      <c r="A13" s="295"/>
      <c r="B13" s="296"/>
      <c r="C13" s="296"/>
      <c r="D13" s="117" t="s">
        <v>358</v>
      </c>
      <c r="E13" s="34" t="s">
        <v>359</v>
      </c>
      <c r="F13" s="34">
        <v>100</v>
      </c>
      <c r="G13" s="34">
        <v>100</v>
      </c>
      <c r="H13" s="110">
        <f t="shared" si="0"/>
        <v>100</v>
      </c>
      <c r="I13" s="34">
        <v>100</v>
      </c>
      <c r="J13" s="110">
        <f t="shared" si="1"/>
        <v>100</v>
      </c>
      <c r="K13" s="34">
        <v>100</v>
      </c>
      <c r="L13" s="34">
        <v>100</v>
      </c>
      <c r="M13" s="294"/>
      <c r="N13" s="294"/>
      <c r="O13" s="294"/>
      <c r="P13" s="294"/>
      <c r="Q13" s="294"/>
      <c r="R13" s="294"/>
      <c r="S13" s="294"/>
    </row>
    <row r="14" spans="1:21" ht="18" customHeight="1">
      <c r="A14" s="290" t="s">
        <v>263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105">
        <f>SUM(M9:M13)</f>
        <v>65612.350000000006</v>
      </c>
      <c r="N14" s="105">
        <f t="shared" ref="N14:S14" si="2">SUM(N9:N13)</f>
        <v>69353</v>
      </c>
      <c r="O14" s="105">
        <f>N14/M14*100</f>
        <v>105.70113705727655</v>
      </c>
      <c r="P14" s="105">
        <f t="shared" si="2"/>
        <v>75929.100000000006</v>
      </c>
      <c r="Q14" s="105">
        <f>P14/N14*100</f>
        <v>109.48206998976254</v>
      </c>
      <c r="R14" s="105">
        <f t="shared" si="2"/>
        <v>68336.19</v>
      </c>
      <c r="S14" s="105">
        <f t="shared" si="2"/>
        <v>68336.19</v>
      </c>
    </row>
  </sheetData>
  <mergeCells count="31">
    <mergeCell ref="A14:L14"/>
    <mergeCell ref="P12:P13"/>
    <mergeCell ref="Q12:Q13"/>
    <mergeCell ref="R12:R13"/>
    <mergeCell ref="S12:S13"/>
    <mergeCell ref="P10:P11"/>
    <mergeCell ref="Q10:Q11"/>
    <mergeCell ref="R10:R11"/>
    <mergeCell ref="S10:S11"/>
    <mergeCell ref="A12:A13"/>
    <mergeCell ref="B12:B13"/>
    <mergeCell ref="C12:C13"/>
    <mergeCell ref="M12:M13"/>
    <mergeCell ref="N12:N13"/>
    <mergeCell ref="O12:O13"/>
    <mergeCell ref="A10:A11"/>
    <mergeCell ref="B10:B11"/>
    <mergeCell ref="C10:C11"/>
    <mergeCell ref="M10:M11"/>
    <mergeCell ref="N10:N11"/>
    <mergeCell ref="O10:O11"/>
    <mergeCell ref="A2:S2"/>
    <mergeCell ref="A5:A7"/>
    <mergeCell ref="B5:B7"/>
    <mergeCell ref="C5:C7"/>
    <mergeCell ref="D5:L5"/>
    <mergeCell ref="M5:S5"/>
    <mergeCell ref="D6:D7"/>
    <mergeCell ref="E6:E7"/>
    <mergeCell ref="F6:L6"/>
    <mergeCell ref="M6:S6"/>
  </mergeCells>
  <pageMargins left="0.11811023622047245" right="0.11811023622047245" top="0.55118110236220474" bottom="0.5511811023622047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="90" zoomScaleNormal="90" zoomScaleSheetLayoutView="90" workbookViewId="0">
      <pane ySplit="8" topLeftCell="A40" activePane="bottomLeft" state="frozen"/>
      <selection pane="bottomLeft" activeCell="T49" sqref="T49"/>
    </sheetView>
  </sheetViews>
  <sheetFormatPr defaultRowHeight="15"/>
  <cols>
    <col min="1" max="1" width="5.7109375" customWidth="1"/>
    <col min="2" max="2" width="26" customWidth="1"/>
    <col min="3" max="3" width="47.5703125" customWidth="1"/>
    <col min="4" max="4" width="24.140625" customWidth="1"/>
    <col min="5" max="5" width="6.5703125" customWidth="1"/>
    <col min="6" max="6" width="9.7109375" customWidth="1"/>
    <col min="7" max="7" width="13" customWidth="1"/>
    <col min="8" max="8" width="9.5703125" customWidth="1"/>
    <col min="9" max="9" width="10.85546875" customWidth="1"/>
    <col min="10" max="10" width="9.42578125" customWidth="1"/>
    <col min="11" max="11" width="10.42578125" customWidth="1"/>
    <col min="12" max="12" width="12" customWidth="1"/>
    <col min="13" max="13" width="12.28515625" customWidth="1"/>
    <col min="14" max="14" width="12.5703125" customWidth="1"/>
    <col min="15" max="15" width="9.42578125" customWidth="1"/>
    <col min="16" max="16" width="14.42578125" customWidth="1"/>
    <col min="17" max="17" width="9" customWidth="1"/>
    <col min="18" max="18" width="14.7109375" customWidth="1"/>
    <col min="19" max="19" width="12.5703125" customWidth="1"/>
  </cols>
  <sheetData>
    <row r="1" spans="1:21" ht="10.5" customHeight="1"/>
    <row r="2" spans="1:21" ht="18.75" customHeight="1">
      <c r="A2" s="273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1" ht="9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21" ht="15.75" customHeight="1">
      <c r="A4" s="27" t="s">
        <v>614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21" ht="17.25" customHeight="1"/>
    <row r="6" spans="1:21" ht="42.75" customHeight="1">
      <c r="A6" s="289" t="s">
        <v>3</v>
      </c>
      <c r="B6" s="289" t="s">
        <v>4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21" ht="15.75" customHeight="1">
      <c r="A7" s="289"/>
      <c r="B7" s="289"/>
      <c r="C7" s="289"/>
      <c r="D7" s="289" t="s">
        <v>7</v>
      </c>
      <c r="E7" s="289" t="s">
        <v>8</v>
      </c>
      <c r="F7" s="289" t="s">
        <v>9</v>
      </c>
      <c r="G7" s="289"/>
      <c r="H7" s="289"/>
      <c r="I7" s="289"/>
      <c r="J7" s="289"/>
      <c r="K7" s="289"/>
      <c r="L7" s="289"/>
      <c r="M7" s="289" t="s">
        <v>557</v>
      </c>
      <c r="N7" s="289"/>
      <c r="O7" s="289"/>
      <c r="P7" s="289"/>
      <c r="Q7" s="289"/>
      <c r="R7" s="289"/>
      <c r="S7" s="289"/>
    </row>
    <row r="8" spans="1:21" ht="63" customHeight="1">
      <c r="A8" s="289"/>
      <c r="B8" s="289"/>
      <c r="C8" s="289"/>
      <c r="D8" s="289"/>
      <c r="E8" s="289"/>
      <c r="F8" s="48" t="s">
        <v>11</v>
      </c>
      <c r="G8" s="48" t="s">
        <v>12</v>
      </c>
      <c r="H8" s="51" t="s">
        <v>13</v>
      </c>
      <c r="I8" s="48" t="s">
        <v>14</v>
      </c>
      <c r="J8" s="51" t="s">
        <v>15</v>
      </c>
      <c r="K8" s="48" t="s">
        <v>16</v>
      </c>
      <c r="L8" s="48" t="s">
        <v>17</v>
      </c>
      <c r="M8" s="48" t="s">
        <v>11</v>
      </c>
      <c r="N8" s="48" t="s">
        <v>12</v>
      </c>
      <c r="O8" s="51" t="s">
        <v>13</v>
      </c>
      <c r="P8" s="48" t="s">
        <v>14</v>
      </c>
      <c r="Q8" s="51" t="s">
        <v>15</v>
      </c>
      <c r="R8" s="48" t="s">
        <v>16</v>
      </c>
      <c r="S8" s="48" t="s">
        <v>17</v>
      </c>
      <c r="T8" s="2"/>
      <c r="U8" s="2"/>
    </row>
    <row r="9" spans="1:21" ht="15.75" customHeight="1">
      <c r="A9" s="125">
        <v>1</v>
      </c>
      <c r="B9" s="168" t="s">
        <v>18</v>
      </c>
      <c r="C9" s="168" t="s">
        <v>19</v>
      </c>
      <c r="D9" s="168" t="s">
        <v>20</v>
      </c>
      <c r="E9" s="168" t="s">
        <v>21</v>
      </c>
      <c r="F9" s="168" t="s">
        <v>22</v>
      </c>
      <c r="G9" s="168" t="s">
        <v>23</v>
      </c>
      <c r="H9" s="168" t="s">
        <v>24</v>
      </c>
      <c r="I9" s="168" t="s">
        <v>25</v>
      </c>
      <c r="J9" s="168" t="s">
        <v>26</v>
      </c>
      <c r="K9" s="168" t="s">
        <v>27</v>
      </c>
      <c r="L9" s="168" t="s">
        <v>28</v>
      </c>
      <c r="M9" s="168" t="s">
        <v>29</v>
      </c>
      <c r="N9" s="168" t="s">
        <v>30</v>
      </c>
      <c r="O9" s="168" t="s">
        <v>31</v>
      </c>
      <c r="P9" s="168" t="s">
        <v>32</v>
      </c>
      <c r="Q9" s="168" t="s">
        <v>33</v>
      </c>
      <c r="R9" s="168" t="s">
        <v>34</v>
      </c>
      <c r="S9" s="168" t="s">
        <v>35</v>
      </c>
      <c r="T9" s="2"/>
      <c r="U9" s="2"/>
    </row>
    <row r="10" spans="1:21" s="212" customFormat="1" ht="31.5" customHeight="1">
      <c r="A10" s="286">
        <v>1</v>
      </c>
      <c r="B10" s="289" t="s">
        <v>558</v>
      </c>
      <c r="C10" s="213" t="s">
        <v>559</v>
      </c>
      <c r="D10" s="213" t="s">
        <v>560</v>
      </c>
      <c r="E10" s="214" t="s">
        <v>561</v>
      </c>
      <c r="F10" s="234"/>
      <c r="G10" s="230">
        <v>1</v>
      </c>
      <c r="H10" s="232"/>
      <c r="I10" s="236">
        <v>1</v>
      </c>
      <c r="J10" s="232"/>
      <c r="K10" s="236">
        <v>1</v>
      </c>
      <c r="L10" s="236"/>
      <c r="M10" s="232"/>
      <c r="N10" s="232">
        <v>17.5</v>
      </c>
      <c r="O10" s="232"/>
      <c r="P10" s="232"/>
      <c r="Q10" s="232"/>
      <c r="R10" s="232"/>
      <c r="S10" s="232"/>
      <c r="T10" s="211"/>
      <c r="U10" s="211"/>
    </row>
    <row r="11" spans="1:21" s="212" customFormat="1" ht="32.25" customHeight="1">
      <c r="A11" s="286"/>
      <c r="B11" s="289"/>
      <c r="C11" s="213" t="s">
        <v>562</v>
      </c>
      <c r="D11" s="213" t="s">
        <v>563</v>
      </c>
      <c r="E11" s="214" t="s">
        <v>561</v>
      </c>
      <c r="F11" s="234">
        <v>30</v>
      </c>
      <c r="G11" s="230">
        <v>40</v>
      </c>
      <c r="H11" s="232">
        <f>G11/F11*100</f>
        <v>133.33333333333331</v>
      </c>
      <c r="I11" s="236">
        <v>40</v>
      </c>
      <c r="J11" s="232">
        <f>I11/G11*100</f>
        <v>100</v>
      </c>
      <c r="K11" s="236">
        <v>40</v>
      </c>
      <c r="L11" s="236"/>
      <c r="M11" s="232">
        <v>102.9</v>
      </c>
      <c r="N11" s="232">
        <v>77.099999999999994</v>
      </c>
      <c r="O11" s="232">
        <f>N11/M11*100</f>
        <v>74.927113702623899</v>
      </c>
      <c r="P11" s="232"/>
      <c r="Q11" s="232"/>
      <c r="R11" s="232"/>
      <c r="S11" s="232"/>
      <c r="T11" s="211"/>
      <c r="U11" s="211"/>
    </row>
    <row r="12" spans="1:21" s="212" customFormat="1" ht="31.5" customHeight="1">
      <c r="A12" s="286"/>
      <c r="B12" s="289"/>
      <c r="C12" s="213" t="s">
        <v>564</v>
      </c>
      <c r="D12" s="213" t="s">
        <v>563</v>
      </c>
      <c r="E12" s="214" t="s">
        <v>561</v>
      </c>
      <c r="F12" s="234">
        <v>170</v>
      </c>
      <c r="G12" s="230">
        <v>200</v>
      </c>
      <c r="H12" s="232">
        <f t="shared" ref="H12:H36" si="0">G12/F12*100</f>
        <v>117.64705882352942</v>
      </c>
      <c r="I12" s="236">
        <v>230</v>
      </c>
      <c r="J12" s="232">
        <f t="shared" ref="J12:J18" si="1">I12/G12*100</f>
        <v>114.99999999999999</v>
      </c>
      <c r="K12" s="236">
        <v>260</v>
      </c>
      <c r="L12" s="236"/>
      <c r="M12" s="232">
        <v>415.2</v>
      </c>
      <c r="N12" s="232">
        <v>399.1</v>
      </c>
      <c r="O12" s="232">
        <f t="shared" ref="O12:O37" si="2">N12/M12*100</f>
        <v>96.122350674373806</v>
      </c>
      <c r="P12" s="232"/>
      <c r="Q12" s="232"/>
      <c r="R12" s="232"/>
      <c r="S12" s="232"/>
      <c r="T12" s="211"/>
      <c r="U12" s="211"/>
    </row>
    <row r="13" spans="1:21" s="212" customFormat="1" ht="49.5" customHeight="1">
      <c r="A13" s="286"/>
      <c r="B13" s="289"/>
      <c r="C13" s="213" t="s">
        <v>565</v>
      </c>
      <c r="D13" s="213" t="s">
        <v>566</v>
      </c>
      <c r="E13" s="214" t="s">
        <v>118</v>
      </c>
      <c r="F13" s="234"/>
      <c r="G13" s="230">
        <v>18</v>
      </c>
      <c r="H13" s="232"/>
      <c r="I13" s="236">
        <v>18</v>
      </c>
      <c r="J13" s="232">
        <f t="shared" si="1"/>
        <v>100</v>
      </c>
      <c r="K13" s="236">
        <v>18</v>
      </c>
      <c r="L13" s="236"/>
      <c r="M13" s="232"/>
      <c r="N13" s="232">
        <v>47.6</v>
      </c>
      <c r="O13" s="232"/>
      <c r="P13" s="232"/>
      <c r="Q13" s="232"/>
      <c r="R13" s="232"/>
      <c r="S13" s="232"/>
      <c r="T13" s="211"/>
      <c r="U13" s="211"/>
    </row>
    <row r="14" spans="1:21" s="212" customFormat="1" ht="60.75" customHeight="1">
      <c r="A14" s="167">
        <v>2</v>
      </c>
      <c r="B14" s="168" t="s">
        <v>567</v>
      </c>
      <c r="C14" s="215" t="s">
        <v>568</v>
      </c>
      <c r="D14" s="213" t="s">
        <v>569</v>
      </c>
      <c r="E14" s="214" t="s">
        <v>118</v>
      </c>
      <c r="F14" s="234"/>
      <c r="G14" s="230">
        <v>20</v>
      </c>
      <c r="H14" s="232"/>
      <c r="I14" s="236">
        <v>20</v>
      </c>
      <c r="J14" s="232">
        <f t="shared" si="1"/>
        <v>100</v>
      </c>
      <c r="K14" s="236">
        <v>20</v>
      </c>
      <c r="L14" s="236">
        <v>20</v>
      </c>
      <c r="M14" s="232"/>
      <c r="N14" s="232">
        <v>14137.7</v>
      </c>
      <c r="O14" s="232"/>
      <c r="P14" s="232">
        <v>1918.8000000000002</v>
      </c>
      <c r="Q14" s="232">
        <f>P14/N14*100</f>
        <v>13.572221789965836</v>
      </c>
      <c r="R14" s="232">
        <v>1726.92</v>
      </c>
      <c r="S14" s="232">
        <v>1726.92</v>
      </c>
      <c r="T14" s="211"/>
      <c r="U14" s="211"/>
    </row>
    <row r="15" spans="1:21" s="212" customFormat="1" ht="40.5" customHeight="1">
      <c r="A15" s="286">
        <v>3</v>
      </c>
      <c r="B15" s="289" t="s">
        <v>570</v>
      </c>
      <c r="C15" s="216" t="s">
        <v>571</v>
      </c>
      <c r="D15" s="217" t="s">
        <v>572</v>
      </c>
      <c r="E15" s="218" t="s">
        <v>573</v>
      </c>
      <c r="F15" s="230">
        <v>166400</v>
      </c>
      <c r="G15" s="230">
        <v>166400</v>
      </c>
      <c r="H15" s="232">
        <f t="shared" si="0"/>
        <v>100</v>
      </c>
      <c r="I15" s="230">
        <v>166400</v>
      </c>
      <c r="J15" s="232">
        <f t="shared" si="1"/>
        <v>100</v>
      </c>
      <c r="K15" s="230">
        <v>166400</v>
      </c>
      <c r="L15" s="230">
        <v>166400</v>
      </c>
      <c r="M15" s="232">
        <v>4579.3999999999996</v>
      </c>
      <c r="N15" s="232">
        <v>4865.3</v>
      </c>
      <c r="O15" s="232">
        <f t="shared" si="2"/>
        <v>106.24317596191642</v>
      </c>
      <c r="P15" s="232"/>
      <c r="Q15" s="232"/>
      <c r="R15" s="232"/>
      <c r="S15" s="232"/>
      <c r="T15" s="211"/>
      <c r="U15" s="211"/>
    </row>
    <row r="16" spans="1:21" s="212" customFormat="1" ht="35.25" customHeight="1">
      <c r="A16" s="286"/>
      <c r="B16" s="289"/>
      <c r="C16" s="216" t="s">
        <v>574</v>
      </c>
      <c r="D16" s="217" t="s">
        <v>572</v>
      </c>
      <c r="E16" s="218" t="s">
        <v>573</v>
      </c>
      <c r="F16" s="230">
        <v>1111600</v>
      </c>
      <c r="G16" s="230">
        <v>1111600</v>
      </c>
      <c r="H16" s="232">
        <f t="shared" si="0"/>
        <v>100</v>
      </c>
      <c r="I16" s="230">
        <v>1111600</v>
      </c>
      <c r="J16" s="232">
        <f t="shared" si="1"/>
        <v>100</v>
      </c>
      <c r="K16" s="230">
        <v>1111600</v>
      </c>
      <c r="L16" s="230">
        <v>1111600</v>
      </c>
      <c r="M16" s="232">
        <v>16429</v>
      </c>
      <c r="N16" s="232">
        <v>14517.5</v>
      </c>
      <c r="O16" s="232">
        <f t="shared" si="2"/>
        <v>88.365086128187968</v>
      </c>
      <c r="P16" s="232"/>
      <c r="Q16" s="232"/>
      <c r="R16" s="232"/>
      <c r="S16" s="232"/>
      <c r="T16" s="211"/>
      <c r="U16" s="211"/>
    </row>
    <row r="17" spans="1:21" s="212" customFormat="1" ht="64.5" customHeight="1">
      <c r="A17" s="286"/>
      <c r="B17" s="289"/>
      <c r="C17" s="216" t="s">
        <v>575</v>
      </c>
      <c r="D17" s="217" t="s">
        <v>576</v>
      </c>
      <c r="E17" s="218" t="s">
        <v>118</v>
      </c>
      <c r="F17" s="230"/>
      <c r="G17" s="230" t="s">
        <v>577</v>
      </c>
      <c r="H17" s="232"/>
      <c r="I17" s="230" t="s">
        <v>577</v>
      </c>
      <c r="J17" s="232"/>
      <c r="K17" s="230" t="s">
        <v>577</v>
      </c>
      <c r="L17" s="230" t="s">
        <v>577</v>
      </c>
      <c r="M17" s="232"/>
      <c r="N17" s="232">
        <v>1785.5</v>
      </c>
      <c r="O17" s="232"/>
      <c r="P17" s="232">
        <v>4817.7000000000007</v>
      </c>
      <c r="Q17" s="232">
        <f>P17/N17*100</f>
        <v>269.82357882945956</v>
      </c>
      <c r="R17" s="232">
        <v>4335.9300000000012</v>
      </c>
      <c r="S17" s="232">
        <v>4335.9300000000012</v>
      </c>
      <c r="T17" s="211"/>
      <c r="U17" s="211"/>
    </row>
    <row r="18" spans="1:21" s="212" customFormat="1" ht="27" customHeight="1">
      <c r="A18" s="167">
        <v>4</v>
      </c>
      <c r="B18" s="219" t="s">
        <v>578</v>
      </c>
      <c r="C18" s="216" t="s">
        <v>578</v>
      </c>
      <c r="D18" s="216" t="s">
        <v>579</v>
      </c>
      <c r="E18" s="218" t="s">
        <v>573</v>
      </c>
      <c r="F18" s="235">
        <v>6230.2</v>
      </c>
      <c r="G18" s="236" t="s">
        <v>580</v>
      </c>
      <c r="H18" s="232">
        <f t="shared" si="0"/>
        <v>1.2969086064652822</v>
      </c>
      <c r="I18" s="236">
        <v>63.7</v>
      </c>
      <c r="J18" s="232">
        <f t="shared" si="1"/>
        <v>78.836633663366342</v>
      </c>
      <c r="K18" s="236">
        <v>64.8</v>
      </c>
      <c r="L18" s="236"/>
      <c r="M18" s="232">
        <v>8600</v>
      </c>
      <c r="N18" s="232">
        <v>2624.4</v>
      </c>
      <c r="O18" s="232">
        <f t="shared" si="2"/>
        <v>30.516279069767442</v>
      </c>
      <c r="P18" s="232"/>
      <c r="Q18" s="232"/>
      <c r="R18" s="232"/>
      <c r="S18" s="232"/>
      <c r="T18" s="211"/>
      <c r="U18" s="211"/>
    </row>
    <row r="19" spans="1:21" s="212" customFormat="1" ht="48.75" customHeight="1">
      <c r="A19" s="167">
        <v>5</v>
      </c>
      <c r="B19" s="220" t="s">
        <v>581</v>
      </c>
      <c r="C19" s="221" t="s">
        <v>582</v>
      </c>
      <c r="D19" s="213" t="s">
        <v>583</v>
      </c>
      <c r="E19" s="218" t="s">
        <v>573</v>
      </c>
      <c r="F19" s="235"/>
      <c r="G19" s="236">
        <v>122</v>
      </c>
      <c r="H19" s="232"/>
      <c r="I19" s="236"/>
      <c r="J19" s="232"/>
      <c r="K19" s="236"/>
      <c r="L19" s="236"/>
      <c r="M19" s="232"/>
      <c r="N19" s="232">
        <v>17400.7</v>
      </c>
      <c r="O19" s="232"/>
      <c r="P19" s="232"/>
      <c r="Q19" s="232"/>
      <c r="R19" s="232"/>
      <c r="S19" s="232"/>
      <c r="T19" s="211"/>
      <c r="U19" s="211"/>
    </row>
    <row r="20" spans="1:21" s="212" customFormat="1" ht="37.5" customHeight="1">
      <c r="A20" s="167">
        <v>6</v>
      </c>
      <c r="B20" s="229" t="s">
        <v>584</v>
      </c>
      <c r="C20" s="216" t="s">
        <v>585</v>
      </c>
      <c r="D20" s="216" t="s">
        <v>586</v>
      </c>
      <c r="E20" s="218" t="s">
        <v>573</v>
      </c>
      <c r="F20" s="236" t="s">
        <v>587</v>
      </c>
      <c r="G20" s="236"/>
      <c r="H20" s="232"/>
      <c r="I20" s="236"/>
      <c r="J20" s="232"/>
      <c r="K20" s="236"/>
      <c r="L20" s="236"/>
      <c r="M20" s="232">
        <v>1250</v>
      </c>
      <c r="N20" s="232"/>
      <c r="O20" s="232">
        <f t="shared" si="2"/>
        <v>0</v>
      </c>
      <c r="P20" s="232"/>
      <c r="Q20" s="232"/>
      <c r="R20" s="232"/>
      <c r="S20" s="232"/>
      <c r="T20" s="211"/>
      <c r="U20" s="211"/>
    </row>
    <row r="21" spans="1:21" s="212" customFormat="1" ht="36" customHeight="1">
      <c r="A21" s="286">
        <v>7</v>
      </c>
      <c r="B21" s="303" t="s">
        <v>588</v>
      </c>
      <c r="C21" s="213" t="s">
        <v>589</v>
      </c>
      <c r="D21" s="213" t="s">
        <v>583</v>
      </c>
      <c r="E21" s="214" t="s">
        <v>573</v>
      </c>
      <c r="F21" s="237">
        <v>7.1</v>
      </c>
      <c r="G21" s="236"/>
      <c r="H21" s="232"/>
      <c r="I21" s="236"/>
      <c r="J21" s="232"/>
      <c r="K21" s="236"/>
      <c r="L21" s="236"/>
      <c r="M21" s="232">
        <v>400</v>
      </c>
      <c r="N21" s="232"/>
      <c r="O21" s="232">
        <f t="shared" si="2"/>
        <v>0</v>
      </c>
      <c r="P21" s="232"/>
      <c r="Q21" s="232"/>
      <c r="R21" s="232"/>
      <c r="S21" s="232"/>
      <c r="T21" s="211"/>
      <c r="U21" s="211"/>
    </row>
    <row r="22" spans="1:21" s="212" customFormat="1" ht="33.75" customHeight="1">
      <c r="A22" s="286"/>
      <c r="B22" s="303"/>
      <c r="C22" s="213" t="s">
        <v>590</v>
      </c>
      <c r="D22" s="213" t="s">
        <v>583</v>
      </c>
      <c r="E22" s="214" t="s">
        <v>573</v>
      </c>
      <c r="F22" s="237">
        <f>17.8+6.7</f>
        <v>24.5</v>
      </c>
      <c r="G22" s="236"/>
      <c r="H22" s="232"/>
      <c r="I22" s="236"/>
      <c r="J22" s="232"/>
      <c r="K22" s="236"/>
      <c r="L22" s="236"/>
      <c r="M22" s="232">
        <v>1185.2</v>
      </c>
      <c r="N22" s="232"/>
      <c r="O22" s="232">
        <f t="shared" si="2"/>
        <v>0</v>
      </c>
      <c r="P22" s="232"/>
      <c r="Q22" s="232"/>
      <c r="R22" s="232"/>
      <c r="S22" s="232"/>
      <c r="T22" s="211"/>
      <c r="U22" s="211"/>
    </row>
    <row r="23" spans="1:21" s="212" customFormat="1" ht="34.5" customHeight="1">
      <c r="A23" s="286"/>
      <c r="B23" s="303"/>
      <c r="C23" s="213" t="s">
        <v>591</v>
      </c>
      <c r="D23" s="213" t="s">
        <v>583</v>
      </c>
      <c r="E23" s="214" t="s">
        <v>573</v>
      </c>
      <c r="F23" s="237">
        <v>34</v>
      </c>
      <c r="G23" s="236"/>
      <c r="H23" s="232"/>
      <c r="I23" s="236"/>
      <c r="J23" s="232"/>
      <c r="K23" s="236"/>
      <c r="L23" s="236"/>
      <c r="M23" s="232">
        <v>228.72</v>
      </c>
      <c r="N23" s="232"/>
      <c r="O23" s="232">
        <f t="shared" si="2"/>
        <v>0</v>
      </c>
      <c r="P23" s="232"/>
      <c r="Q23" s="232"/>
      <c r="R23" s="232"/>
      <c r="S23" s="232"/>
      <c r="T23" s="211"/>
      <c r="U23" s="211"/>
    </row>
    <row r="24" spans="1:21" s="212" customFormat="1" ht="35.25" customHeight="1">
      <c r="A24" s="286"/>
      <c r="B24" s="303"/>
      <c r="C24" s="213" t="s">
        <v>592</v>
      </c>
      <c r="D24" s="213" t="s">
        <v>583</v>
      </c>
      <c r="E24" s="214" t="s">
        <v>573</v>
      </c>
      <c r="F24" s="237">
        <v>20</v>
      </c>
      <c r="G24" s="236">
        <v>86</v>
      </c>
      <c r="H24" s="232">
        <f t="shared" si="0"/>
        <v>430</v>
      </c>
      <c r="I24" s="236"/>
      <c r="J24" s="232"/>
      <c r="K24" s="236"/>
      <c r="L24" s="236"/>
      <c r="M24" s="232">
        <v>212.58</v>
      </c>
      <c r="N24" s="232">
        <v>936.4</v>
      </c>
      <c r="O24" s="232">
        <f t="shared" si="2"/>
        <v>440.49299087402386</v>
      </c>
      <c r="P24" s="232"/>
      <c r="Q24" s="232"/>
      <c r="R24" s="232"/>
      <c r="S24" s="232"/>
      <c r="T24" s="211"/>
      <c r="U24" s="211"/>
    </row>
    <row r="25" spans="1:21" s="212" customFormat="1" ht="20.25" customHeight="1">
      <c r="A25" s="286">
        <v>8</v>
      </c>
      <c r="B25" s="301" t="s">
        <v>593</v>
      </c>
      <c r="C25" s="221" t="s">
        <v>594</v>
      </c>
      <c r="D25" s="213" t="s">
        <v>595</v>
      </c>
      <c r="E25" s="214" t="s">
        <v>573</v>
      </c>
      <c r="F25" s="237"/>
      <c r="G25" s="236">
        <v>122</v>
      </c>
      <c r="H25" s="232"/>
      <c r="I25" s="236"/>
      <c r="J25" s="232"/>
      <c r="K25" s="236"/>
      <c r="L25" s="236"/>
      <c r="M25" s="232"/>
      <c r="N25" s="232">
        <v>378.3</v>
      </c>
      <c r="O25" s="232"/>
      <c r="P25" s="232"/>
      <c r="Q25" s="232"/>
      <c r="R25" s="232"/>
      <c r="S25" s="232"/>
      <c r="T25" s="211"/>
      <c r="U25" s="211"/>
    </row>
    <row r="26" spans="1:21" s="212" customFormat="1" ht="18" customHeight="1">
      <c r="A26" s="286"/>
      <c r="B26" s="301"/>
      <c r="C26" s="220" t="s">
        <v>596</v>
      </c>
      <c r="D26" s="220" t="s">
        <v>595</v>
      </c>
      <c r="E26" s="214" t="s">
        <v>573</v>
      </c>
      <c r="F26" s="238">
        <f>F27+F28</f>
        <v>31.6</v>
      </c>
      <c r="G26" s="236"/>
      <c r="H26" s="232"/>
      <c r="I26" s="236"/>
      <c r="J26" s="232"/>
      <c r="K26" s="236"/>
      <c r="L26" s="236"/>
      <c r="M26" s="232">
        <f>M27+M28</f>
        <v>116.19999999999999</v>
      </c>
      <c r="N26" s="232"/>
      <c r="O26" s="232">
        <f t="shared" si="2"/>
        <v>0</v>
      </c>
      <c r="P26" s="232"/>
      <c r="Q26" s="232"/>
      <c r="R26" s="232"/>
      <c r="S26" s="232"/>
      <c r="T26" s="211"/>
      <c r="U26" s="211"/>
    </row>
    <row r="27" spans="1:21" s="212" customFormat="1" ht="18" customHeight="1">
      <c r="A27" s="286"/>
      <c r="B27" s="301"/>
      <c r="C27" s="220" t="s">
        <v>597</v>
      </c>
      <c r="D27" s="220" t="s">
        <v>595</v>
      </c>
      <c r="E27" s="214" t="s">
        <v>573</v>
      </c>
      <c r="F27" s="234">
        <v>7.1</v>
      </c>
      <c r="G27" s="236"/>
      <c r="H27" s="232"/>
      <c r="I27" s="236"/>
      <c r="J27" s="232"/>
      <c r="K27" s="236"/>
      <c r="L27" s="236"/>
      <c r="M27" s="232">
        <v>29.4</v>
      </c>
      <c r="N27" s="232"/>
      <c r="O27" s="232">
        <f t="shared" si="2"/>
        <v>0</v>
      </c>
      <c r="P27" s="232"/>
      <c r="Q27" s="232"/>
      <c r="R27" s="232"/>
      <c r="S27" s="232"/>
      <c r="T27" s="211"/>
      <c r="U27" s="211"/>
    </row>
    <row r="28" spans="1:21" s="212" customFormat="1" ht="18" customHeight="1">
      <c r="A28" s="286"/>
      <c r="B28" s="301"/>
      <c r="C28" s="220" t="s">
        <v>598</v>
      </c>
      <c r="D28" s="220" t="s">
        <v>595</v>
      </c>
      <c r="E28" s="222" t="s">
        <v>573</v>
      </c>
      <c r="F28" s="234">
        <v>24.5</v>
      </c>
      <c r="G28" s="236"/>
      <c r="H28" s="232"/>
      <c r="I28" s="236"/>
      <c r="J28" s="232"/>
      <c r="K28" s="236"/>
      <c r="L28" s="236"/>
      <c r="M28" s="232">
        <v>86.8</v>
      </c>
      <c r="N28" s="232"/>
      <c r="O28" s="232">
        <f t="shared" si="2"/>
        <v>0</v>
      </c>
      <c r="P28" s="232"/>
      <c r="Q28" s="232"/>
      <c r="R28" s="232"/>
      <c r="S28" s="232"/>
      <c r="T28" s="211"/>
      <c r="U28" s="211"/>
    </row>
    <row r="29" spans="1:21" s="212" customFormat="1" ht="28.5" customHeight="1">
      <c r="A29" s="286"/>
      <c r="B29" s="301"/>
      <c r="C29" s="220" t="s">
        <v>599</v>
      </c>
      <c r="D29" s="220" t="s">
        <v>595</v>
      </c>
      <c r="E29" s="222" t="s">
        <v>573</v>
      </c>
      <c r="F29" s="236">
        <f>F30+F31</f>
        <v>54</v>
      </c>
      <c r="G29" s="236">
        <f>G30+G31</f>
        <v>86</v>
      </c>
      <c r="H29" s="232">
        <f t="shared" si="0"/>
        <v>159.25925925925927</v>
      </c>
      <c r="I29" s="236"/>
      <c r="J29" s="232"/>
      <c r="K29" s="236"/>
      <c r="L29" s="236"/>
      <c r="M29" s="232">
        <f>M30+M31</f>
        <v>153.19999999999999</v>
      </c>
      <c r="N29" s="232">
        <f>N30+N31</f>
        <v>239.8</v>
      </c>
      <c r="O29" s="232">
        <f t="shared" si="2"/>
        <v>156.52741514360315</v>
      </c>
      <c r="P29" s="232"/>
      <c r="Q29" s="232"/>
      <c r="R29" s="232"/>
      <c r="S29" s="232"/>
      <c r="T29" s="211"/>
      <c r="U29" s="211"/>
    </row>
    <row r="30" spans="1:21" s="212" customFormat="1" ht="15.75" customHeight="1">
      <c r="A30" s="286"/>
      <c r="B30" s="301"/>
      <c r="C30" s="220" t="s">
        <v>600</v>
      </c>
      <c r="D30" s="220" t="s">
        <v>595</v>
      </c>
      <c r="E30" s="222" t="s">
        <v>573</v>
      </c>
      <c r="F30" s="234">
        <v>34</v>
      </c>
      <c r="G30" s="236"/>
      <c r="H30" s="232"/>
      <c r="I30" s="236"/>
      <c r="J30" s="232"/>
      <c r="K30" s="236"/>
      <c r="L30" s="236"/>
      <c r="M30" s="232">
        <v>96.5</v>
      </c>
      <c r="N30" s="232"/>
      <c r="O30" s="232">
        <f t="shared" si="2"/>
        <v>0</v>
      </c>
      <c r="P30" s="232"/>
      <c r="Q30" s="232"/>
      <c r="R30" s="232"/>
      <c r="S30" s="232"/>
      <c r="T30" s="211"/>
      <c r="U30" s="211"/>
    </row>
    <row r="31" spans="1:21" s="212" customFormat="1" ht="15.75" customHeight="1">
      <c r="A31" s="286"/>
      <c r="B31" s="301"/>
      <c r="C31" s="220" t="s">
        <v>601</v>
      </c>
      <c r="D31" s="220" t="s">
        <v>595</v>
      </c>
      <c r="E31" s="222" t="s">
        <v>573</v>
      </c>
      <c r="F31" s="234">
        <v>20</v>
      </c>
      <c r="G31" s="236">
        <v>86</v>
      </c>
      <c r="H31" s="232">
        <f t="shared" si="0"/>
        <v>430</v>
      </c>
      <c r="I31" s="236"/>
      <c r="J31" s="232"/>
      <c r="K31" s="236"/>
      <c r="L31" s="236"/>
      <c r="M31" s="232">
        <v>56.7</v>
      </c>
      <c r="N31" s="232">
        <v>239.8</v>
      </c>
      <c r="O31" s="232">
        <f t="shared" si="2"/>
        <v>422.92768959435625</v>
      </c>
      <c r="P31" s="232"/>
      <c r="Q31" s="232"/>
      <c r="R31" s="232"/>
      <c r="S31" s="232"/>
      <c r="T31" s="211"/>
      <c r="U31" s="211"/>
    </row>
    <row r="32" spans="1:21" s="212" customFormat="1" ht="33.75" customHeight="1">
      <c r="A32" s="286">
        <v>9</v>
      </c>
      <c r="B32" s="302" t="s">
        <v>602</v>
      </c>
      <c r="C32" s="223" t="s">
        <v>603</v>
      </c>
      <c r="D32" s="223" t="s">
        <v>604</v>
      </c>
      <c r="E32" s="224" t="s">
        <v>573</v>
      </c>
      <c r="F32" s="239">
        <v>45.13</v>
      </c>
      <c r="G32" s="236">
        <v>42</v>
      </c>
      <c r="H32" s="232">
        <f t="shared" si="0"/>
        <v>93.064480389984482</v>
      </c>
      <c r="I32" s="236"/>
      <c r="J32" s="232"/>
      <c r="K32" s="236"/>
      <c r="L32" s="236"/>
      <c r="M32" s="232">
        <v>1190.1199999999999</v>
      </c>
      <c r="N32" s="232">
        <v>1081.9000000000001</v>
      </c>
      <c r="O32" s="232">
        <f t="shared" si="2"/>
        <v>90.90679931435487</v>
      </c>
      <c r="P32" s="232"/>
      <c r="Q32" s="232"/>
      <c r="R32" s="232"/>
      <c r="S32" s="232"/>
      <c r="T32" s="211"/>
      <c r="U32" s="211"/>
    </row>
    <row r="33" spans="1:21" s="212" customFormat="1" ht="63.75" customHeight="1">
      <c r="A33" s="286"/>
      <c r="B33" s="302"/>
      <c r="C33" s="223" t="s">
        <v>605</v>
      </c>
      <c r="D33" s="223" t="s">
        <v>606</v>
      </c>
      <c r="E33" s="224" t="s">
        <v>573</v>
      </c>
      <c r="F33" s="240">
        <v>628.42999999999995</v>
      </c>
      <c r="G33" s="236">
        <v>741</v>
      </c>
      <c r="H33" s="232">
        <f t="shared" si="0"/>
        <v>117.91289403752209</v>
      </c>
      <c r="I33" s="236"/>
      <c r="J33" s="232"/>
      <c r="K33" s="236"/>
      <c r="L33" s="236"/>
      <c r="M33" s="232">
        <v>1873.52</v>
      </c>
      <c r="N33" s="232">
        <v>2214</v>
      </c>
      <c r="O33" s="232">
        <f t="shared" si="2"/>
        <v>118.17327810751954</v>
      </c>
      <c r="P33" s="232"/>
      <c r="Q33" s="232"/>
      <c r="R33" s="232"/>
      <c r="S33" s="232"/>
      <c r="T33" s="211"/>
      <c r="U33" s="211"/>
    </row>
    <row r="34" spans="1:21" s="212" customFormat="1" ht="44.25" customHeight="1">
      <c r="A34" s="286"/>
      <c r="B34" s="302"/>
      <c r="C34" s="223" t="s">
        <v>607</v>
      </c>
      <c r="D34" s="223" t="s">
        <v>606</v>
      </c>
      <c r="E34" s="224" t="s">
        <v>573</v>
      </c>
      <c r="F34" s="239">
        <v>27.48</v>
      </c>
      <c r="G34" s="236"/>
      <c r="H34" s="232"/>
      <c r="I34" s="236"/>
      <c r="J34" s="232"/>
      <c r="K34" s="236"/>
      <c r="L34" s="236"/>
      <c r="M34" s="232">
        <v>256.02999999999997</v>
      </c>
      <c r="N34" s="232"/>
      <c r="O34" s="232">
        <f t="shared" si="2"/>
        <v>0</v>
      </c>
      <c r="P34" s="232"/>
      <c r="Q34" s="232"/>
      <c r="R34" s="232"/>
      <c r="S34" s="232"/>
      <c r="T34" s="211"/>
      <c r="U34" s="211"/>
    </row>
    <row r="35" spans="1:21" s="212" customFormat="1" ht="75" customHeight="1">
      <c r="A35" s="286">
        <v>10</v>
      </c>
      <c r="B35" s="302" t="s">
        <v>608</v>
      </c>
      <c r="C35" s="223" t="s">
        <v>609</v>
      </c>
      <c r="D35" s="223" t="s">
        <v>610</v>
      </c>
      <c r="E35" s="224" t="s">
        <v>573</v>
      </c>
      <c r="F35" s="239">
        <v>45.13</v>
      </c>
      <c r="G35" s="236">
        <v>42</v>
      </c>
      <c r="H35" s="232">
        <f t="shared" si="0"/>
        <v>93.064480389984482</v>
      </c>
      <c r="I35" s="236"/>
      <c r="J35" s="232"/>
      <c r="K35" s="236"/>
      <c r="L35" s="236"/>
      <c r="M35" s="232">
        <v>338.25</v>
      </c>
      <c r="N35" s="232">
        <v>212.5</v>
      </c>
      <c r="O35" s="232">
        <f t="shared" si="2"/>
        <v>62.823355506282333</v>
      </c>
      <c r="P35" s="232"/>
      <c r="Q35" s="232"/>
      <c r="R35" s="232"/>
      <c r="S35" s="232"/>
      <c r="T35" s="211"/>
      <c r="U35" s="211"/>
    </row>
    <row r="36" spans="1:21" s="212" customFormat="1" ht="63" customHeight="1">
      <c r="A36" s="286"/>
      <c r="B36" s="302"/>
      <c r="C36" s="223" t="s">
        <v>611</v>
      </c>
      <c r="D36" s="223" t="s">
        <v>612</v>
      </c>
      <c r="E36" s="224" t="s">
        <v>573</v>
      </c>
      <c r="F36" s="239">
        <v>45.13</v>
      </c>
      <c r="G36" s="236">
        <v>42</v>
      </c>
      <c r="H36" s="232">
        <f t="shared" si="0"/>
        <v>93.064480389984482</v>
      </c>
      <c r="I36" s="236"/>
      <c r="J36" s="232"/>
      <c r="K36" s="236"/>
      <c r="L36" s="236"/>
      <c r="M36" s="232">
        <v>236.77</v>
      </c>
      <c r="N36" s="232">
        <v>147.30000000000001</v>
      </c>
      <c r="O36" s="232">
        <f t="shared" si="2"/>
        <v>62.212273514381046</v>
      </c>
      <c r="P36" s="232"/>
      <c r="Q36" s="232"/>
      <c r="R36" s="232"/>
      <c r="S36" s="232"/>
      <c r="T36" s="211"/>
      <c r="U36" s="211"/>
    </row>
    <row r="37" spans="1:21" s="212" customFormat="1" ht="38.25" customHeight="1">
      <c r="A37" s="167">
        <v>11</v>
      </c>
      <c r="B37" s="226" t="s">
        <v>602</v>
      </c>
      <c r="C37" s="227" t="s">
        <v>613</v>
      </c>
      <c r="D37" s="223" t="s">
        <v>604</v>
      </c>
      <c r="E37" s="228" t="s">
        <v>573</v>
      </c>
      <c r="F37" s="240">
        <v>21.2</v>
      </c>
      <c r="G37" s="236"/>
      <c r="H37" s="232"/>
      <c r="I37" s="236"/>
      <c r="J37" s="232"/>
      <c r="K37" s="236"/>
      <c r="L37" s="236"/>
      <c r="M37" s="232">
        <v>1244.26</v>
      </c>
      <c r="N37" s="232"/>
      <c r="O37" s="232">
        <f t="shared" si="2"/>
        <v>0</v>
      </c>
      <c r="P37" s="232"/>
      <c r="Q37" s="232"/>
      <c r="R37" s="232"/>
      <c r="S37" s="232"/>
      <c r="T37" s="211"/>
      <c r="U37" s="211"/>
    </row>
    <row r="38" spans="1:21" s="245" customFormat="1" ht="76.5" customHeight="1">
      <c r="A38" s="299">
        <v>12</v>
      </c>
      <c r="B38" s="300" t="s">
        <v>615</v>
      </c>
      <c r="C38" s="262" t="s">
        <v>616</v>
      </c>
      <c r="D38" s="257" t="s">
        <v>617</v>
      </c>
      <c r="E38" s="228" t="s">
        <v>401</v>
      </c>
      <c r="F38" s="225"/>
      <c r="G38" s="242"/>
      <c r="H38" s="243"/>
      <c r="I38" s="243">
        <v>170</v>
      </c>
      <c r="J38" s="243"/>
      <c r="K38" s="243">
        <v>170</v>
      </c>
      <c r="L38" s="243">
        <v>170</v>
      </c>
      <c r="M38" s="258"/>
      <c r="N38" s="258"/>
      <c r="O38" s="258"/>
      <c r="P38" s="258"/>
      <c r="Q38" s="259"/>
      <c r="R38" s="258"/>
      <c r="S38" s="258"/>
      <c r="T38" s="244"/>
      <c r="U38" s="244"/>
    </row>
    <row r="39" spans="1:21" s="245" customFormat="1" ht="76.5" customHeight="1">
      <c r="A39" s="299"/>
      <c r="B39" s="300"/>
      <c r="C39" s="263" t="s">
        <v>618</v>
      </c>
      <c r="D39" s="257" t="s">
        <v>315</v>
      </c>
      <c r="E39" s="228" t="s">
        <v>401</v>
      </c>
      <c r="F39" s="225"/>
      <c r="G39" s="242"/>
      <c r="H39" s="243"/>
      <c r="I39" s="243">
        <v>600</v>
      </c>
      <c r="J39" s="243"/>
      <c r="K39" s="243">
        <v>600</v>
      </c>
      <c r="L39" s="243">
        <v>600</v>
      </c>
      <c r="M39" s="258"/>
      <c r="N39" s="258"/>
      <c r="O39" s="258"/>
      <c r="P39" s="258">
        <v>531.78750000000002</v>
      </c>
      <c r="Q39" s="259" t="s">
        <v>39</v>
      </c>
      <c r="R39" s="258">
        <v>478.60879999999997</v>
      </c>
      <c r="S39" s="258">
        <v>478.60879999999997</v>
      </c>
      <c r="T39" s="244"/>
      <c r="U39" s="244"/>
    </row>
    <row r="40" spans="1:21" s="245" customFormat="1" ht="47.25" customHeight="1">
      <c r="A40" s="299"/>
      <c r="B40" s="300"/>
      <c r="C40" s="263" t="s">
        <v>619</v>
      </c>
      <c r="D40" s="257" t="s">
        <v>620</v>
      </c>
      <c r="E40" s="228" t="s">
        <v>401</v>
      </c>
      <c r="F40" s="225"/>
      <c r="G40" s="242"/>
      <c r="H40" s="243"/>
      <c r="I40" s="243">
        <v>2800</v>
      </c>
      <c r="J40" s="243"/>
      <c r="K40" s="243">
        <v>2800</v>
      </c>
      <c r="L40" s="243">
        <v>2800</v>
      </c>
      <c r="M40" s="258"/>
      <c r="N40" s="258"/>
      <c r="O40" s="258"/>
      <c r="P40" s="258">
        <v>468.25040000000001</v>
      </c>
      <c r="Q40" s="259" t="s">
        <v>39</v>
      </c>
      <c r="R40" s="258">
        <v>421.42540000000002</v>
      </c>
      <c r="S40" s="258">
        <v>421.42540000000002</v>
      </c>
      <c r="T40" s="244"/>
      <c r="U40" s="244"/>
    </row>
    <row r="41" spans="1:21" s="249" customFormat="1" ht="66" customHeight="1">
      <c r="A41" s="264">
        <v>13</v>
      </c>
      <c r="B41" s="152" t="s">
        <v>621</v>
      </c>
      <c r="C41" s="265" t="s">
        <v>621</v>
      </c>
      <c r="D41" s="266" t="s">
        <v>622</v>
      </c>
      <c r="E41" s="267" t="s">
        <v>401</v>
      </c>
      <c r="F41" s="169"/>
      <c r="G41" s="169"/>
      <c r="H41" s="226"/>
      <c r="I41" s="246">
        <v>1488</v>
      </c>
      <c r="J41" s="247"/>
      <c r="K41" s="248">
        <v>1488</v>
      </c>
      <c r="L41" s="248">
        <v>1488</v>
      </c>
      <c r="M41" s="231"/>
      <c r="N41" s="231"/>
      <c r="O41" s="231"/>
      <c r="P41" s="231">
        <v>1168.8534</v>
      </c>
      <c r="Q41" s="259" t="s">
        <v>39</v>
      </c>
      <c r="R41" s="231">
        <v>1051.9681</v>
      </c>
      <c r="S41" s="231">
        <v>1051.9681</v>
      </c>
    </row>
    <row r="42" spans="1:21" s="252" customFormat="1" ht="63" customHeight="1">
      <c r="A42" s="297" t="s">
        <v>30</v>
      </c>
      <c r="B42" s="298" t="s">
        <v>623</v>
      </c>
      <c r="C42" s="263" t="s">
        <v>624</v>
      </c>
      <c r="D42" s="257" t="s">
        <v>625</v>
      </c>
      <c r="E42" s="241" t="s">
        <v>401</v>
      </c>
      <c r="F42" s="247"/>
      <c r="G42" s="247"/>
      <c r="H42" s="250"/>
      <c r="I42" s="251">
        <v>24</v>
      </c>
      <c r="J42" s="247"/>
      <c r="K42" s="251">
        <v>24</v>
      </c>
      <c r="L42" s="251">
        <v>24</v>
      </c>
      <c r="M42" s="260"/>
      <c r="N42" s="260"/>
      <c r="O42" s="260"/>
      <c r="P42" s="260">
        <v>6090.6184999999996</v>
      </c>
      <c r="Q42" s="259" t="s">
        <v>39</v>
      </c>
      <c r="R42" s="260">
        <v>5481.5567000000001</v>
      </c>
      <c r="S42" s="260">
        <v>5481.5567000000001</v>
      </c>
    </row>
    <row r="43" spans="1:21" s="252" customFormat="1" ht="63" customHeight="1">
      <c r="A43" s="297"/>
      <c r="B43" s="298"/>
      <c r="C43" s="263" t="s">
        <v>626</v>
      </c>
      <c r="D43" s="257" t="s">
        <v>625</v>
      </c>
      <c r="E43" s="241" t="s">
        <v>401</v>
      </c>
      <c r="F43" s="247"/>
      <c r="G43" s="247"/>
      <c r="H43" s="250"/>
      <c r="I43" s="251">
        <v>24</v>
      </c>
      <c r="J43" s="247"/>
      <c r="K43" s="251">
        <v>24</v>
      </c>
      <c r="L43" s="251">
        <v>24</v>
      </c>
      <c r="M43" s="260"/>
      <c r="N43" s="260"/>
      <c r="O43" s="260"/>
      <c r="P43" s="260">
        <v>1103.9075</v>
      </c>
      <c r="Q43" s="259" t="s">
        <v>39</v>
      </c>
      <c r="R43" s="260">
        <v>993.51679999999999</v>
      </c>
      <c r="S43" s="260">
        <v>993.51679999999999</v>
      </c>
    </row>
    <row r="44" spans="1:21" s="252" customFormat="1" ht="33" customHeight="1">
      <c r="A44" s="297" t="s">
        <v>31</v>
      </c>
      <c r="B44" s="298" t="s">
        <v>627</v>
      </c>
      <c r="C44" s="263" t="s">
        <v>628</v>
      </c>
      <c r="D44" s="263" t="s">
        <v>622</v>
      </c>
      <c r="E44" s="155" t="s">
        <v>401</v>
      </c>
      <c r="F44" s="247"/>
      <c r="G44" s="247"/>
      <c r="H44" s="253"/>
      <c r="I44" s="246">
        <v>193</v>
      </c>
      <c r="J44" s="247"/>
      <c r="K44" s="246">
        <v>193</v>
      </c>
      <c r="L44" s="246">
        <v>193</v>
      </c>
      <c r="M44" s="260"/>
      <c r="N44" s="260"/>
      <c r="O44" s="260"/>
      <c r="P44" s="260">
        <v>2116.4769000000001</v>
      </c>
      <c r="Q44" s="259" t="s">
        <v>39</v>
      </c>
      <c r="R44" s="260">
        <v>1904.8291999999999</v>
      </c>
      <c r="S44" s="260">
        <v>1904.8291999999999</v>
      </c>
    </row>
    <row r="45" spans="1:21" s="252" customFormat="1" ht="45" customHeight="1">
      <c r="A45" s="297"/>
      <c r="B45" s="298"/>
      <c r="C45" s="263" t="s">
        <v>629</v>
      </c>
      <c r="D45" s="257" t="s">
        <v>630</v>
      </c>
      <c r="E45" s="241" t="s">
        <v>631</v>
      </c>
      <c r="F45" s="247"/>
      <c r="G45" s="247"/>
      <c r="H45" s="250"/>
      <c r="I45" s="246">
        <v>13.5</v>
      </c>
      <c r="J45" s="247"/>
      <c r="K45" s="246">
        <v>13.5</v>
      </c>
      <c r="L45" s="246">
        <v>13.5</v>
      </c>
      <c r="M45" s="260"/>
      <c r="N45" s="260"/>
      <c r="O45" s="260"/>
      <c r="P45" s="260">
        <v>326.99029999999999</v>
      </c>
      <c r="Q45" s="259" t="s">
        <v>39</v>
      </c>
      <c r="R45" s="260">
        <v>294.291</v>
      </c>
      <c r="S45" s="260">
        <v>294.291</v>
      </c>
    </row>
    <row r="46" spans="1:21" s="252" customFormat="1" ht="33.75" customHeight="1">
      <c r="A46" s="297"/>
      <c r="B46" s="298"/>
      <c r="C46" s="263" t="s">
        <v>632</v>
      </c>
      <c r="D46" s="263" t="s">
        <v>633</v>
      </c>
      <c r="E46" s="155" t="s">
        <v>401</v>
      </c>
      <c r="F46" s="247"/>
      <c r="G46" s="247"/>
      <c r="H46" s="169"/>
      <c r="I46" s="246">
        <v>11</v>
      </c>
      <c r="J46" s="247"/>
      <c r="K46" s="246">
        <v>11</v>
      </c>
      <c r="L46" s="246">
        <v>11</v>
      </c>
      <c r="M46" s="260"/>
      <c r="N46" s="260"/>
      <c r="O46" s="260"/>
      <c r="P46" s="260">
        <v>497.7833</v>
      </c>
      <c r="Q46" s="259" t="s">
        <v>39</v>
      </c>
      <c r="R46" s="260">
        <v>448.005</v>
      </c>
      <c r="S46" s="260">
        <v>448.005</v>
      </c>
    </row>
    <row r="47" spans="1:21" s="256" customFormat="1" ht="30">
      <c r="A47" s="297"/>
      <c r="B47" s="298"/>
      <c r="C47" s="263" t="s">
        <v>634</v>
      </c>
      <c r="D47" s="263" t="s">
        <v>635</v>
      </c>
      <c r="E47" s="155" t="s">
        <v>401</v>
      </c>
      <c r="F47" s="254"/>
      <c r="G47" s="254"/>
      <c r="H47" s="254"/>
      <c r="I47" s="255">
        <v>86</v>
      </c>
      <c r="J47" s="254"/>
      <c r="K47" s="255">
        <v>86</v>
      </c>
      <c r="L47" s="255">
        <v>86</v>
      </c>
      <c r="M47" s="261"/>
      <c r="N47" s="261"/>
      <c r="O47" s="261"/>
      <c r="P47" s="233">
        <v>377.7722</v>
      </c>
      <c r="Q47" s="259" t="s">
        <v>39</v>
      </c>
      <c r="R47" s="233">
        <v>339.995</v>
      </c>
      <c r="S47" s="233">
        <v>339.995</v>
      </c>
    </row>
    <row r="48" spans="1:21" s="252" customFormat="1" ht="27.75" customHeight="1">
      <c r="A48" s="297"/>
      <c r="B48" s="298"/>
      <c r="C48" s="263" t="s">
        <v>636</v>
      </c>
      <c r="D48" s="263" t="s">
        <v>637</v>
      </c>
      <c r="E48" s="155" t="s">
        <v>401</v>
      </c>
      <c r="F48" s="247"/>
      <c r="G48" s="247"/>
      <c r="H48" s="253"/>
      <c r="I48" s="246">
        <v>18</v>
      </c>
      <c r="J48" s="247"/>
      <c r="K48" s="246">
        <v>18</v>
      </c>
      <c r="L48" s="246">
        <v>18</v>
      </c>
      <c r="M48" s="260"/>
      <c r="N48" s="260"/>
      <c r="O48" s="260"/>
      <c r="P48" s="268">
        <v>312.66000000000003</v>
      </c>
      <c r="Q48" s="259" t="s">
        <v>39</v>
      </c>
      <c r="R48" s="260">
        <v>281.39400000000001</v>
      </c>
      <c r="S48" s="260">
        <v>281.39400000000001</v>
      </c>
    </row>
    <row r="49" spans="1:19" ht="19.5" customHeight="1">
      <c r="A49" s="290" t="s">
        <v>263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105">
        <f>SUM(M10:M48)-M27-M28-M30-M31</f>
        <v>38811.349999999991</v>
      </c>
      <c r="N49" s="105">
        <f t="shared" ref="N49:S49" si="3">SUM(N10:N48)-N27-N28-N30-N31</f>
        <v>61082.60000000002</v>
      </c>
      <c r="O49" s="105">
        <f>N49/M49*100</f>
        <v>157.38334275927025</v>
      </c>
      <c r="P49" s="105">
        <f t="shared" si="3"/>
        <v>19731.599999999999</v>
      </c>
      <c r="Q49" s="105">
        <f>P49/N49*100</f>
        <v>32.30314361209247</v>
      </c>
      <c r="R49" s="105">
        <f t="shared" si="3"/>
        <v>17758.440000000002</v>
      </c>
      <c r="S49" s="105">
        <f t="shared" si="3"/>
        <v>17758.440000000002</v>
      </c>
    </row>
  </sheetData>
  <mergeCells count="29"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  <mergeCell ref="A10:A13"/>
    <mergeCell ref="B10:B13"/>
    <mergeCell ref="A15:A17"/>
    <mergeCell ref="B15:B17"/>
    <mergeCell ref="A21:A24"/>
    <mergeCell ref="B21:B24"/>
    <mergeCell ref="A25:A31"/>
    <mergeCell ref="B25:B31"/>
    <mergeCell ref="A32:A34"/>
    <mergeCell ref="B32:B34"/>
    <mergeCell ref="A35:A36"/>
    <mergeCell ref="B35:B36"/>
    <mergeCell ref="A44:A48"/>
    <mergeCell ref="B44:B48"/>
    <mergeCell ref="A49:L49"/>
    <mergeCell ref="A38:A40"/>
    <mergeCell ref="B38:B40"/>
    <mergeCell ref="A42:A43"/>
    <mergeCell ref="B42:B43"/>
  </mergeCells>
  <pageMargins left="0.15748031496062992" right="0.15748031496062992" top="0.74803149606299213" bottom="0.15748031496062992" header="0.31496062992125984" footer="0.31496062992125984"/>
  <pageSetup paperSize="9" scale="53" orientation="landscape" r:id="rId1"/>
  <colBreaks count="1" manualBreakCount="1">
    <brk id="19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90" zoomScaleNormal="90" workbookViewId="0">
      <pane xSplit="3" ySplit="7" topLeftCell="D47" activePane="bottomRight" state="frozen"/>
      <selection pane="topRight" activeCell="D1" sqref="D1"/>
      <selection pane="bottomLeft" activeCell="A8" sqref="A8"/>
      <selection pane="bottomRight" activeCell="P53" sqref="P53"/>
    </sheetView>
  </sheetViews>
  <sheetFormatPr defaultRowHeight="15"/>
  <cols>
    <col min="1" max="1" width="5.7109375" style="84" customWidth="1"/>
    <col min="2" max="2" width="29" style="84" customWidth="1"/>
    <col min="3" max="3" width="60.85546875" style="84" customWidth="1"/>
    <col min="4" max="4" width="16.5703125" style="84" customWidth="1"/>
    <col min="5" max="5" width="15.85546875" style="84" customWidth="1"/>
    <col min="6" max="6" width="11.28515625" style="84" customWidth="1"/>
    <col min="7" max="7" width="13" style="84" customWidth="1"/>
    <col min="8" max="8" width="9.5703125" style="84" customWidth="1"/>
    <col min="9" max="9" width="10.85546875" style="84" customWidth="1"/>
    <col min="10" max="10" width="10.140625" style="84" customWidth="1"/>
    <col min="11" max="11" width="12.140625" style="84" customWidth="1"/>
    <col min="12" max="12" width="12" style="84" customWidth="1"/>
    <col min="13" max="13" width="11.28515625" style="84" customWidth="1"/>
    <col min="14" max="14" width="12.28515625" style="84" customWidth="1"/>
    <col min="15" max="15" width="9.42578125" style="84" customWidth="1"/>
    <col min="16" max="16" width="11.5703125" style="84" customWidth="1"/>
    <col min="17" max="17" width="9.7109375" style="84" customWidth="1"/>
    <col min="18" max="18" width="11.5703125" style="84" customWidth="1"/>
    <col min="19" max="19" width="11.85546875" style="84" customWidth="1"/>
    <col min="20" max="16384" width="9.140625" style="84"/>
  </cols>
  <sheetData>
    <row r="1" spans="1:19" ht="22.5" customHeight="1">
      <c r="A1" s="305" t="s">
        <v>639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>
      <c r="A3" s="95" t="s">
        <v>265</v>
      </c>
      <c r="B3" s="85"/>
      <c r="C3" s="85"/>
      <c r="D3" s="85"/>
      <c r="F3" s="270" t="s">
        <v>97</v>
      </c>
      <c r="G3" s="85"/>
      <c r="H3" s="86"/>
      <c r="J3" s="87"/>
      <c r="K3" s="87"/>
      <c r="L3" s="87"/>
      <c r="M3" s="86"/>
      <c r="N3" s="86"/>
      <c r="O3" s="85"/>
      <c r="P3" s="85"/>
      <c r="Q3" s="85"/>
      <c r="R3" s="85"/>
      <c r="S3" s="85"/>
    </row>
    <row r="5" spans="1:19" ht="36" customHeight="1">
      <c r="A5" s="307" t="s">
        <v>3</v>
      </c>
      <c r="B5" s="307" t="s">
        <v>4</v>
      </c>
      <c r="C5" s="307" t="s">
        <v>5</v>
      </c>
      <c r="D5" s="307" t="s">
        <v>180</v>
      </c>
      <c r="E5" s="307"/>
      <c r="F5" s="307"/>
      <c r="G5" s="307"/>
      <c r="H5" s="307"/>
      <c r="I5" s="307"/>
      <c r="J5" s="307"/>
      <c r="K5" s="307"/>
      <c r="L5" s="307"/>
      <c r="M5" s="308" t="s">
        <v>6</v>
      </c>
      <c r="N5" s="308"/>
      <c r="O5" s="308"/>
      <c r="P5" s="308"/>
      <c r="Q5" s="308"/>
      <c r="R5" s="308"/>
      <c r="S5" s="308"/>
    </row>
    <row r="6" spans="1:19" ht="19.5" customHeight="1">
      <c r="A6" s="307"/>
      <c r="B6" s="307"/>
      <c r="C6" s="307"/>
      <c r="D6" s="307" t="s">
        <v>7</v>
      </c>
      <c r="E6" s="307" t="s">
        <v>8</v>
      </c>
      <c r="F6" s="307" t="s">
        <v>9</v>
      </c>
      <c r="G6" s="307"/>
      <c r="H6" s="307"/>
      <c r="I6" s="307"/>
      <c r="J6" s="307"/>
      <c r="K6" s="307"/>
      <c r="L6" s="307"/>
      <c r="M6" s="307" t="s">
        <v>10</v>
      </c>
      <c r="N6" s="307"/>
      <c r="O6" s="307"/>
      <c r="P6" s="307"/>
      <c r="Q6" s="307"/>
      <c r="R6" s="307"/>
      <c r="S6" s="307"/>
    </row>
    <row r="7" spans="1:19" ht="75">
      <c r="A7" s="307"/>
      <c r="B7" s="307"/>
      <c r="C7" s="307"/>
      <c r="D7" s="307"/>
      <c r="E7" s="307"/>
      <c r="F7" s="126" t="s">
        <v>11</v>
      </c>
      <c r="G7" s="126" t="s">
        <v>12</v>
      </c>
      <c r="H7" s="127" t="s">
        <v>13</v>
      </c>
      <c r="I7" s="126" t="s">
        <v>14</v>
      </c>
      <c r="J7" s="127" t="s">
        <v>15</v>
      </c>
      <c r="K7" s="126" t="s">
        <v>16</v>
      </c>
      <c r="L7" s="126" t="s">
        <v>17</v>
      </c>
      <c r="M7" s="126" t="s">
        <v>11</v>
      </c>
      <c r="N7" s="126" t="s">
        <v>12</v>
      </c>
      <c r="O7" s="127" t="s">
        <v>13</v>
      </c>
      <c r="P7" s="126" t="s">
        <v>14</v>
      </c>
      <c r="Q7" s="127" t="s">
        <v>15</v>
      </c>
      <c r="R7" s="126" t="s">
        <v>16</v>
      </c>
      <c r="S7" s="126" t="s">
        <v>17</v>
      </c>
    </row>
    <row r="8" spans="1:19">
      <c r="A8" s="96">
        <v>1</v>
      </c>
      <c r="B8" s="97" t="s">
        <v>18</v>
      </c>
      <c r="C8" s="97" t="s">
        <v>19</v>
      </c>
      <c r="D8" s="97" t="s">
        <v>20</v>
      </c>
      <c r="E8" s="97" t="s">
        <v>21</v>
      </c>
      <c r="F8" s="97" t="s">
        <v>22</v>
      </c>
      <c r="G8" s="97" t="s">
        <v>23</v>
      </c>
      <c r="H8" s="97" t="s">
        <v>24</v>
      </c>
      <c r="I8" s="97" t="s">
        <v>25</v>
      </c>
      <c r="J8" s="97" t="s">
        <v>26</v>
      </c>
      <c r="K8" s="97" t="s">
        <v>27</v>
      </c>
      <c r="L8" s="97" t="s">
        <v>28</v>
      </c>
      <c r="M8" s="97" t="s">
        <v>29</v>
      </c>
      <c r="N8" s="97" t="s">
        <v>30</v>
      </c>
      <c r="O8" s="97" t="s">
        <v>31</v>
      </c>
      <c r="P8" s="97" t="s">
        <v>32</v>
      </c>
      <c r="Q8" s="97" t="s">
        <v>33</v>
      </c>
      <c r="R8" s="97" t="s">
        <v>34</v>
      </c>
      <c r="S8" s="97" t="s">
        <v>35</v>
      </c>
    </row>
    <row r="9" spans="1:19" ht="78" customHeight="1">
      <c r="A9" s="128">
        <v>1</v>
      </c>
      <c r="B9" s="90" t="s">
        <v>268</v>
      </c>
      <c r="C9" s="90" t="s">
        <v>269</v>
      </c>
      <c r="D9" s="90" t="s">
        <v>270</v>
      </c>
      <c r="E9" s="90" t="s">
        <v>271</v>
      </c>
      <c r="F9" s="88">
        <v>126663</v>
      </c>
      <c r="G9" s="88">
        <v>127130</v>
      </c>
      <c r="H9" s="91">
        <f>G9/F9*100</f>
        <v>100.36869488327294</v>
      </c>
      <c r="I9" s="88">
        <v>130739</v>
      </c>
      <c r="J9" s="91">
        <f>I9/G9*100</f>
        <v>102.8388263981751</v>
      </c>
      <c r="K9" s="88">
        <v>130739</v>
      </c>
      <c r="L9" s="88">
        <v>130739</v>
      </c>
      <c r="M9" s="91">
        <v>36241.800000000003</v>
      </c>
      <c r="N9" s="91">
        <v>38758.800000000003</v>
      </c>
      <c r="O9" s="91">
        <f>N9/M9*100</f>
        <v>106.9450192871215</v>
      </c>
      <c r="P9" s="91">
        <v>49594.400000000001</v>
      </c>
      <c r="Q9" s="91">
        <f>P9/N9*100</f>
        <v>127.95648988100766</v>
      </c>
      <c r="R9" s="91">
        <v>49594.400000000001</v>
      </c>
      <c r="S9" s="91">
        <v>49594.400000000001</v>
      </c>
    </row>
    <row r="10" spans="1:19" ht="78.75" customHeight="1">
      <c r="A10" s="128">
        <v>2</v>
      </c>
      <c r="B10" s="90" t="s">
        <v>268</v>
      </c>
      <c r="C10" s="90" t="s">
        <v>272</v>
      </c>
      <c r="D10" s="90" t="s">
        <v>270</v>
      </c>
      <c r="E10" s="90" t="s">
        <v>271</v>
      </c>
      <c r="F10" s="88">
        <v>61306</v>
      </c>
      <c r="G10" s="88">
        <v>65340</v>
      </c>
      <c r="H10" s="91">
        <f t="shared" ref="H10:H52" si="0">G10/F10*100</f>
        <v>106.58010635174371</v>
      </c>
      <c r="I10" s="88">
        <v>67831</v>
      </c>
      <c r="J10" s="91">
        <f t="shared" ref="J10:J52" si="1">I10/G10*100</f>
        <v>103.81236608509337</v>
      </c>
      <c r="K10" s="88">
        <v>67831</v>
      </c>
      <c r="L10" s="88">
        <v>67831</v>
      </c>
      <c r="M10" s="91">
        <v>44313.4</v>
      </c>
      <c r="N10" s="91">
        <v>42312.1</v>
      </c>
      <c r="O10" s="91">
        <f t="shared" ref="O10:O52" si="2">N10/M10*100</f>
        <v>95.48375886300758</v>
      </c>
      <c r="P10" s="91">
        <v>47432</v>
      </c>
      <c r="Q10" s="91">
        <f t="shared" ref="Q10:Q52" si="3">P10/N10*100</f>
        <v>112.10032118472022</v>
      </c>
      <c r="R10" s="91">
        <v>47432</v>
      </c>
      <c r="S10" s="91">
        <v>47432</v>
      </c>
    </row>
    <row r="11" spans="1:19" ht="78" customHeight="1">
      <c r="A11" s="128">
        <v>3</v>
      </c>
      <c r="B11" s="90" t="s">
        <v>268</v>
      </c>
      <c r="C11" s="90" t="s">
        <v>273</v>
      </c>
      <c r="D11" s="90" t="s">
        <v>270</v>
      </c>
      <c r="E11" s="90" t="s">
        <v>271</v>
      </c>
      <c r="F11" s="88">
        <v>91591</v>
      </c>
      <c r="G11" s="88">
        <v>82695</v>
      </c>
      <c r="H11" s="91">
        <f t="shared" si="0"/>
        <v>90.287255298009626</v>
      </c>
      <c r="I11" s="88">
        <v>93715</v>
      </c>
      <c r="J11" s="91">
        <f t="shared" si="1"/>
        <v>113.32607775560797</v>
      </c>
      <c r="K11" s="88">
        <v>93715</v>
      </c>
      <c r="L11" s="88">
        <v>93715</v>
      </c>
      <c r="M11" s="93">
        <v>47777.4</v>
      </c>
      <c r="N11" s="93">
        <v>42519.4</v>
      </c>
      <c r="O11" s="91">
        <f t="shared" si="2"/>
        <v>88.994796703043704</v>
      </c>
      <c r="P11" s="93">
        <v>46324.800000000003</v>
      </c>
      <c r="Q11" s="91">
        <f t="shared" si="3"/>
        <v>108.94979703382457</v>
      </c>
      <c r="R11" s="93">
        <v>46324.800000000003</v>
      </c>
      <c r="S11" s="93">
        <v>46324.800000000003</v>
      </c>
    </row>
    <row r="12" spans="1:19" ht="95.25" customHeight="1">
      <c r="A12" s="128">
        <v>4</v>
      </c>
      <c r="B12" s="90" t="s">
        <v>268</v>
      </c>
      <c r="C12" s="90" t="s">
        <v>274</v>
      </c>
      <c r="D12" s="90" t="s">
        <v>270</v>
      </c>
      <c r="E12" s="90" t="s">
        <v>271</v>
      </c>
      <c r="F12" s="89">
        <v>15267</v>
      </c>
      <c r="G12" s="89">
        <v>15389</v>
      </c>
      <c r="H12" s="91">
        <f t="shared" si="0"/>
        <v>100.79910918975568</v>
      </c>
      <c r="I12" s="89">
        <v>14501</v>
      </c>
      <c r="J12" s="91">
        <f t="shared" si="1"/>
        <v>94.229644551302883</v>
      </c>
      <c r="K12" s="89">
        <v>14501</v>
      </c>
      <c r="L12" s="89">
        <v>14501</v>
      </c>
      <c r="M12" s="91">
        <v>37373.4</v>
      </c>
      <c r="N12" s="91">
        <v>37991.599999999999</v>
      </c>
      <c r="O12" s="91">
        <f t="shared" si="2"/>
        <v>101.65411763446728</v>
      </c>
      <c r="P12" s="91">
        <v>39233.4</v>
      </c>
      <c r="Q12" s="91">
        <f t="shared" si="3"/>
        <v>103.26861727329199</v>
      </c>
      <c r="R12" s="91">
        <v>39233.4</v>
      </c>
      <c r="S12" s="91">
        <v>39233.4</v>
      </c>
    </row>
    <row r="13" spans="1:19" ht="78.75" customHeight="1">
      <c r="A13" s="128"/>
      <c r="B13" s="90" t="s">
        <v>268</v>
      </c>
      <c r="C13" s="90" t="s">
        <v>275</v>
      </c>
      <c r="D13" s="90" t="str">
        <f t="shared" ref="D13:E13" si="4">D12</f>
        <v>Число посещений</v>
      </c>
      <c r="E13" s="90" t="str">
        <f t="shared" si="4"/>
        <v>Условная единица</v>
      </c>
      <c r="F13" s="89">
        <v>0</v>
      </c>
      <c r="G13" s="89">
        <v>2615</v>
      </c>
      <c r="H13" s="91" t="s">
        <v>39</v>
      </c>
      <c r="I13" s="89">
        <v>3000</v>
      </c>
      <c r="J13" s="91">
        <f t="shared" si="1"/>
        <v>114.72275334608031</v>
      </c>
      <c r="K13" s="89">
        <v>3000</v>
      </c>
      <c r="L13" s="89">
        <v>3000</v>
      </c>
      <c r="M13" s="91">
        <v>0</v>
      </c>
      <c r="N13" s="91">
        <v>1732.5</v>
      </c>
      <c r="O13" s="91" t="e">
        <f t="shared" si="2"/>
        <v>#DIV/0!</v>
      </c>
      <c r="P13" s="91">
        <v>2008</v>
      </c>
      <c r="Q13" s="91">
        <f t="shared" si="3"/>
        <v>115.90187590187591</v>
      </c>
      <c r="R13" s="91">
        <v>2008</v>
      </c>
      <c r="S13" s="91">
        <v>2008</v>
      </c>
    </row>
    <row r="14" spans="1:19" ht="135.75" customHeight="1">
      <c r="A14" s="128">
        <v>5</v>
      </c>
      <c r="B14" s="90" t="s">
        <v>276</v>
      </c>
      <c r="C14" s="90" t="s">
        <v>277</v>
      </c>
      <c r="D14" s="90" t="s">
        <v>278</v>
      </c>
      <c r="E14" s="90" t="s">
        <v>271</v>
      </c>
      <c r="F14" s="89">
        <v>1985</v>
      </c>
      <c r="G14" s="89">
        <v>2146</v>
      </c>
      <c r="H14" s="91">
        <f t="shared" si="0"/>
        <v>108.11083123425693</v>
      </c>
      <c r="I14" s="89">
        <v>1953</v>
      </c>
      <c r="J14" s="91">
        <f t="shared" si="1"/>
        <v>91.006523765144451</v>
      </c>
      <c r="K14" s="89">
        <v>1953</v>
      </c>
      <c r="L14" s="89">
        <v>1953</v>
      </c>
      <c r="M14" s="91">
        <v>255075.53</v>
      </c>
      <c r="N14" s="91">
        <v>265146.59999999998</v>
      </c>
      <c r="O14" s="91">
        <f t="shared" si="2"/>
        <v>103.94826975366864</v>
      </c>
      <c r="P14" s="91">
        <v>273530</v>
      </c>
      <c r="Q14" s="91">
        <f t="shared" si="3"/>
        <v>103.16179803927336</v>
      </c>
      <c r="R14" s="91">
        <v>273530</v>
      </c>
      <c r="S14" s="91">
        <v>273530</v>
      </c>
    </row>
    <row r="15" spans="1:19" ht="135">
      <c r="A15" s="128">
        <v>6</v>
      </c>
      <c r="B15" s="90" t="s">
        <v>276</v>
      </c>
      <c r="C15" s="90" t="s">
        <v>279</v>
      </c>
      <c r="D15" s="90" t="s">
        <v>278</v>
      </c>
      <c r="E15" s="90" t="s">
        <v>271</v>
      </c>
      <c r="F15" s="89">
        <v>1203</v>
      </c>
      <c r="G15" s="89">
        <v>1533</v>
      </c>
      <c r="H15" s="91">
        <f t="shared" si="0"/>
        <v>127.43142144638404</v>
      </c>
      <c r="I15" s="89">
        <v>1882</v>
      </c>
      <c r="J15" s="91">
        <f t="shared" si="1"/>
        <v>122.76581865622961</v>
      </c>
      <c r="K15" s="89">
        <v>1882</v>
      </c>
      <c r="L15" s="89">
        <v>1882</v>
      </c>
      <c r="M15" s="91">
        <v>33004.800000000003</v>
      </c>
      <c r="N15" s="91">
        <v>38093.800000000003</v>
      </c>
      <c r="O15" s="91">
        <f t="shared" si="2"/>
        <v>115.4189693620322</v>
      </c>
      <c r="P15" s="91">
        <v>42734.8</v>
      </c>
      <c r="Q15" s="91">
        <f t="shared" si="3"/>
        <v>112.18308491145541</v>
      </c>
      <c r="R15" s="91">
        <v>42734.8</v>
      </c>
      <c r="S15" s="91">
        <v>42734.8</v>
      </c>
    </row>
    <row r="16" spans="1:19" ht="135">
      <c r="A16" s="128">
        <v>7</v>
      </c>
      <c r="B16" s="90" t="s">
        <v>276</v>
      </c>
      <c r="C16" s="90" t="s">
        <v>280</v>
      </c>
      <c r="D16" s="90" t="s">
        <v>278</v>
      </c>
      <c r="E16" s="90" t="s">
        <v>271</v>
      </c>
      <c r="F16" s="88">
        <v>563</v>
      </c>
      <c r="G16" s="88">
        <v>417</v>
      </c>
      <c r="H16" s="91">
        <f t="shared" si="0"/>
        <v>74.06749555950266</v>
      </c>
      <c r="I16" s="88">
        <v>832</v>
      </c>
      <c r="J16" s="91">
        <f t="shared" si="1"/>
        <v>199.52038369304557</v>
      </c>
      <c r="K16" s="88">
        <v>832</v>
      </c>
      <c r="L16" s="88">
        <v>832</v>
      </c>
      <c r="M16" s="91">
        <v>149139.96</v>
      </c>
      <c r="N16" s="91">
        <v>149766.04999999999</v>
      </c>
      <c r="O16" s="91">
        <f t="shared" si="2"/>
        <v>100.41980030033533</v>
      </c>
      <c r="P16" s="91">
        <v>163463.1</v>
      </c>
      <c r="Q16" s="91">
        <f t="shared" si="3"/>
        <v>109.14563080217448</v>
      </c>
      <c r="R16" s="91">
        <v>163463.1</v>
      </c>
      <c r="S16" s="91">
        <v>163463.1</v>
      </c>
    </row>
    <row r="17" spans="1:19" ht="135">
      <c r="A17" s="128">
        <v>8</v>
      </c>
      <c r="B17" s="90" t="s">
        <v>276</v>
      </c>
      <c r="C17" s="90" t="s">
        <v>281</v>
      </c>
      <c r="D17" s="90" t="s">
        <v>278</v>
      </c>
      <c r="E17" s="90" t="s">
        <v>271</v>
      </c>
      <c r="F17" s="89">
        <v>2</v>
      </c>
      <c r="G17" s="89">
        <v>12</v>
      </c>
      <c r="H17" s="91">
        <f t="shared" si="0"/>
        <v>600</v>
      </c>
      <c r="I17" s="89">
        <v>50</v>
      </c>
      <c r="J17" s="91">
        <f t="shared" si="1"/>
        <v>416.66666666666669</v>
      </c>
      <c r="K17" s="89">
        <v>50</v>
      </c>
      <c r="L17" s="89">
        <v>50</v>
      </c>
      <c r="M17" s="91">
        <v>13.93</v>
      </c>
      <c r="N17" s="91">
        <v>381.3</v>
      </c>
      <c r="O17" s="91">
        <f t="shared" si="2"/>
        <v>2737.2577171572148</v>
      </c>
      <c r="P17" s="91">
        <v>750.8</v>
      </c>
      <c r="Q17" s="91">
        <f t="shared" si="3"/>
        <v>196.90532389194857</v>
      </c>
      <c r="R17" s="91">
        <v>750.8</v>
      </c>
      <c r="S17" s="91">
        <v>750.8</v>
      </c>
    </row>
    <row r="18" spans="1:19" ht="85.5" customHeight="1">
      <c r="A18" s="128">
        <v>9</v>
      </c>
      <c r="B18" s="90" t="s">
        <v>268</v>
      </c>
      <c r="C18" s="90" t="s">
        <v>269</v>
      </c>
      <c r="D18" s="90" t="s">
        <v>282</v>
      </c>
      <c r="E18" s="90" t="s">
        <v>271</v>
      </c>
      <c r="F18" s="89">
        <v>544</v>
      </c>
      <c r="G18" s="89">
        <v>552</v>
      </c>
      <c r="H18" s="91">
        <f t="shared" si="0"/>
        <v>101.47058823529412</v>
      </c>
      <c r="I18" s="89">
        <v>545</v>
      </c>
      <c r="J18" s="91">
        <f t="shared" si="1"/>
        <v>98.731884057971016</v>
      </c>
      <c r="K18" s="89">
        <v>545</v>
      </c>
      <c r="L18" s="89">
        <v>545</v>
      </c>
      <c r="M18" s="91">
        <v>5671.5</v>
      </c>
      <c r="N18" s="91">
        <v>5671.2</v>
      </c>
      <c r="O18" s="91">
        <f t="shared" si="2"/>
        <v>99.994710394075639</v>
      </c>
      <c r="P18" s="91">
        <v>8552.1</v>
      </c>
      <c r="Q18" s="91">
        <f t="shared" si="3"/>
        <v>150.79877274650869</v>
      </c>
      <c r="R18" s="91">
        <v>8552.1</v>
      </c>
      <c r="S18" s="91">
        <v>8552.1</v>
      </c>
    </row>
    <row r="19" spans="1:19" ht="140.25" customHeight="1">
      <c r="A19" s="128">
        <v>10</v>
      </c>
      <c r="B19" s="90" t="s">
        <v>276</v>
      </c>
      <c r="C19" s="90" t="s">
        <v>283</v>
      </c>
      <c r="D19" s="90" t="s">
        <v>282</v>
      </c>
      <c r="E19" s="90" t="s">
        <v>271</v>
      </c>
      <c r="F19" s="89">
        <v>140</v>
      </c>
      <c r="G19" s="89">
        <v>176</v>
      </c>
      <c r="H19" s="91">
        <f t="shared" si="0"/>
        <v>125.71428571428571</v>
      </c>
      <c r="I19" s="89">
        <v>220</v>
      </c>
      <c r="J19" s="91">
        <f t="shared" si="1"/>
        <v>125</v>
      </c>
      <c r="K19" s="89">
        <v>220</v>
      </c>
      <c r="L19" s="89">
        <v>220</v>
      </c>
      <c r="M19" s="91">
        <v>5571.6</v>
      </c>
      <c r="N19" s="91">
        <v>5523.6</v>
      </c>
      <c r="O19" s="91">
        <f t="shared" si="2"/>
        <v>99.138488046521644</v>
      </c>
      <c r="P19" s="91">
        <v>8329.6</v>
      </c>
      <c r="Q19" s="91">
        <f t="shared" si="3"/>
        <v>150.80020276631183</v>
      </c>
      <c r="R19" s="91">
        <v>8329.6</v>
      </c>
      <c r="S19" s="91">
        <v>8329.6</v>
      </c>
    </row>
    <row r="20" spans="1:19" ht="135">
      <c r="A20" s="128">
        <v>11</v>
      </c>
      <c r="B20" s="90" t="s">
        <v>276</v>
      </c>
      <c r="C20" s="90" t="s">
        <v>280</v>
      </c>
      <c r="D20" s="90" t="s">
        <v>282</v>
      </c>
      <c r="E20" s="90" t="s">
        <v>271</v>
      </c>
      <c r="F20" s="89">
        <v>40</v>
      </c>
      <c r="G20" s="89">
        <v>48</v>
      </c>
      <c r="H20" s="91">
        <f t="shared" si="0"/>
        <v>120</v>
      </c>
      <c r="I20" s="89">
        <v>85</v>
      </c>
      <c r="J20" s="91">
        <f t="shared" si="1"/>
        <v>177.08333333333331</v>
      </c>
      <c r="K20" s="89">
        <v>85</v>
      </c>
      <c r="L20" s="89">
        <v>85</v>
      </c>
      <c r="M20" s="91">
        <v>1536</v>
      </c>
      <c r="N20" s="91">
        <v>1656.6</v>
      </c>
      <c r="O20" s="91">
        <f t="shared" si="2"/>
        <v>107.85156249999999</v>
      </c>
      <c r="P20" s="91">
        <v>1807.4</v>
      </c>
      <c r="Q20" s="91">
        <f t="shared" si="3"/>
        <v>109.10298201134856</v>
      </c>
      <c r="R20" s="91">
        <v>1807.4</v>
      </c>
      <c r="S20" s="91">
        <v>1807.4</v>
      </c>
    </row>
    <row r="21" spans="1:19" ht="30">
      <c r="A21" s="128">
        <v>12</v>
      </c>
      <c r="B21" s="92" t="s">
        <v>284</v>
      </c>
      <c r="C21" s="92" t="s">
        <v>285</v>
      </c>
      <c r="D21" s="92" t="s">
        <v>286</v>
      </c>
      <c r="E21" s="92" t="s">
        <v>287</v>
      </c>
      <c r="F21" s="89">
        <v>26556</v>
      </c>
      <c r="G21" s="89">
        <v>32242</v>
      </c>
      <c r="H21" s="91">
        <f t="shared" si="0"/>
        <v>121.4113571320982</v>
      </c>
      <c r="I21" s="89">
        <v>37449</v>
      </c>
      <c r="J21" s="91">
        <f t="shared" si="1"/>
        <v>116.14974257180076</v>
      </c>
      <c r="K21" s="89">
        <v>37449</v>
      </c>
      <c r="L21" s="89">
        <v>37449</v>
      </c>
      <c r="M21" s="93">
        <v>34423</v>
      </c>
      <c r="N21" s="93">
        <v>40914.1</v>
      </c>
      <c r="O21" s="91">
        <f t="shared" si="2"/>
        <v>118.85686895389711</v>
      </c>
      <c r="P21" s="93">
        <v>47337.2</v>
      </c>
      <c r="Q21" s="91">
        <f t="shared" si="3"/>
        <v>115.69898885714215</v>
      </c>
      <c r="R21" s="93">
        <v>47337.2</v>
      </c>
      <c r="S21" s="93">
        <v>47337.2</v>
      </c>
    </row>
    <row r="22" spans="1:19" ht="30">
      <c r="A22" s="128">
        <v>13</v>
      </c>
      <c r="B22" s="92" t="s">
        <v>284</v>
      </c>
      <c r="C22" s="92" t="s">
        <v>285</v>
      </c>
      <c r="D22" s="92" t="s">
        <v>270</v>
      </c>
      <c r="E22" s="92" t="s">
        <v>271</v>
      </c>
      <c r="F22" s="89">
        <v>4613</v>
      </c>
      <c r="G22" s="89">
        <v>5670</v>
      </c>
      <c r="H22" s="91">
        <f t="shared" si="0"/>
        <v>122.91350531107739</v>
      </c>
      <c r="I22" s="89">
        <v>6868</v>
      </c>
      <c r="J22" s="91">
        <f t="shared" si="1"/>
        <v>121.12874779541447</v>
      </c>
      <c r="K22" s="89">
        <v>6868</v>
      </c>
      <c r="L22" s="89">
        <v>6868</v>
      </c>
      <c r="M22" s="93">
        <v>6088.8</v>
      </c>
      <c r="N22" s="93">
        <v>5909.8</v>
      </c>
      <c r="O22" s="91">
        <f t="shared" si="2"/>
        <v>97.060176060964395</v>
      </c>
      <c r="P22" s="93">
        <v>7073.4</v>
      </c>
      <c r="Q22" s="91">
        <f t="shared" si="3"/>
        <v>119.68932958814172</v>
      </c>
      <c r="R22" s="93">
        <v>7073.4</v>
      </c>
      <c r="S22" s="93">
        <v>7073.4</v>
      </c>
    </row>
    <row r="23" spans="1:19" ht="60">
      <c r="A23" s="128">
        <v>14</v>
      </c>
      <c r="B23" s="90" t="s">
        <v>288</v>
      </c>
      <c r="C23" s="90"/>
      <c r="D23" s="90" t="s">
        <v>286</v>
      </c>
      <c r="E23" s="90" t="s">
        <v>287</v>
      </c>
      <c r="F23" s="89">
        <v>6849</v>
      </c>
      <c r="G23" s="89">
        <v>5621</v>
      </c>
      <c r="H23" s="91">
        <f t="shared" si="0"/>
        <v>82.070375237260919</v>
      </c>
      <c r="I23" s="89">
        <v>7200</v>
      </c>
      <c r="J23" s="91">
        <f t="shared" si="1"/>
        <v>128.09108699519658</v>
      </c>
      <c r="K23" s="89">
        <v>7200</v>
      </c>
      <c r="L23" s="89">
        <v>7200</v>
      </c>
      <c r="M23" s="91">
        <v>18603</v>
      </c>
      <c r="N23" s="91">
        <v>20465.5</v>
      </c>
      <c r="O23" s="91">
        <f t="shared" si="2"/>
        <v>110.0118260495619</v>
      </c>
      <c r="P23" s="91">
        <v>22291</v>
      </c>
      <c r="Q23" s="91">
        <f t="shared" si="3"/>
        <v>108.91988957025238</v>
      </c>
      <c r="R23" s="91">
        <v>22291</v>
      </c>
      <c r="S23" s="91">
        <v>22291</v>
      </c>
    </row>
    <row r="24" spans="1:19" ht="30">
      <c r="A24" s="128">
        <v>15</v>
      </c>
      <c r="B24" s="92" t="s">
        <v>289</v>
      </c>
      <c r="C24" s="92" t="s">
        <v>290</v>
      </c>
      <c r="D24" s="92" t="s">
        <v>286</v>
      </c>
      <c r="E24" s="92" t="s">
        <v>287</v>
      </c>
      <c r="F24" s="89">
        <v>13891</v>
      </c>
      <c r="G24" s="89">
        <v>6527</v>
      </c>
      <c r="H24" s="91">
        <f t="shared" si="0"/>
        <v>46.987257936793611</v>
      </c>
      <c r="I24" s="89">
        <v>21000</v>
      </c>
      <c r="J24" s="91">
        <f t="shared" si="1"/>
        <v>321.74046269342733</v>
      </c>
      <c r="K24" s="89">
        <v>21000</v>
      </c>
      <c r="L24" s="89">
        <v>21000</v>
      </c>
      <c r="M24" s="93">
        <v>21582.3</v>
      </c>
      <c r="N24" s="93">
        <v>23057</v>
      </c>
      <c r="O24" s="91">
        <f t="shared" si="2"/>
        <v>106.83291400823825</v>
      </c>
      <c r="P24" s="93">
        <v>24860.3</v>
      </c>
      <c r="Q24" s="91">
        <f t="shared" si="3"/>
        <v>107.82105217504446</v>
      </c>
      <c r="R24" s="93">
        <v>24860.3</v>
      </c>
      <c r="S24" s="93">
        <v>24860.3</v>
      </c>
    </row>
    <row r="25" spans="1:19" ht="75">
      <c r="A25" s="128">
        <v>16</v>
      </c>
      <c r="B25" s="90" t="s">
        <v>291</v>
      </c>
      <c r="C25" s="90" t="s">
        <v>292</v>
      </c>
      <c r="D25" s="90" t="s">
        <v>293</v>
      </c>
      <c r="E25" s="90" t="s">
        <v>128</v>
      </c>
      <c r="F25" s="89">
        <v>27</v>
      </c>
      <c r="G25" s="89">
        <v>28</v>
      </c>
      <c r="H25" s="91">
        <f t="shared" si="0"/>
        <v>103.7037037037037</v>
      </c>
      <c r="I25" s="89">
        <v>28</v>
      </c>
      <c r="J25" s="91">
        <f t="shared" si="1"/>
        <v>100</v>
      </c>
      <c r="K25" s="89">
        <v>28</v>
      </c>
      <c r="L25" s="89">
        <v>28</v>
      </c>
      <c r="M25" s="91">
        <v>9847.06</v>
      </c>
      <c r="N25" s="91">
        <v>12388.47</v>
      </c>
      <c r="O25" s="91">
        <f t="shared" si="2"/>
        <v>125.80882009452567</v>
      </c>
      <c r="P25" s="91">
        <v>12074.3</v>
      </c>
      <c r="Q25" s="91">
        <f t="shared" si="3"/>
        <v>97.464012908777278</v>
      </c>
      <c r="R25" s="91">
        <v>12074.3</v>
      </c>
      <c r="S25" s="91">
        <v>12014.2</v>
      </c>
    </row>
    <row r="26" spans="1:19" ht="75">
      <c r="A26" s="128">
        <v>17</v>
      </c>
      <c r="B26" s="90" t="s">
        <v>291</v>
      </c>
      <c r="C26" s="90" t="s">
        <v>294</v>
      </c>
      <c r="D26" s="90" t="s">
        <v>293</v>
      </c>
      <c r="E26" s="90" t="s">
        <v>128</v>
      </c>
      <c r="F26" s="89">
        <v>9</v>
      </c>
      <c r="G26" s="89">
        <v>2</v>
      </c>
      <c r="H26" s="91">
        <f t="shared" si="0"/>
        <v>22.222222222222221</v>
      </c>
      <c r="I26" s="89">
        <v>2</v>
      </c>
      <c r="J26" s="91">
        <f t="shared" si="1"/>
        <v>100</v>
      </c>
      <c r="K26" s="89">
        <v>2</v>
      </c>
      <c r="L26" s="89">
        <v>2</v>
      </c>
      <c r="M26" s="91">
        <v>3015.01</v>
      </c>
      <c r="N26" s="91">
        <v>2371.42</v>
      </c>
      <c r="O26" s="91">
        <f t="shared" si="2"/>
        <v>78.653802143276479</v>
      </c>
      <c r="P26" s="91">
        <v>2371.42</v>
      </c>
      <c r="Q26" s="91">
        <f t="shared" si="3"/>
        <v>100</v>
      </c>
      <c r="R26" s="94">
        <v>2371.42</v>
      </c>
      <c r="S26" s="91">
        <v>2371.42</v>
      </c>
    </row>
    <row r="27" spans="1:19" ht="75">
      <c r="A27" s="128">
        <v>18</v>
      </c>
      <c r="B27" s="90" t="s">
        <v>291</v>
      </c>
      <c r="C27" s="90" t="s">
        <v>295</v>
      </c>
      <c r="D27" s="90" t="s">
        <v>293</v>
      </c>
      <c r="E27" s="90" t="s">
        <v>128</v>
      </c>
      <c r="F27" s="89">
        <v>2</v>
      </c>
      <c r="G27" s="89">
        <v>0</v>
      </c>
      <c r="H27" s="91">
        <f t="shared" si="0"/>
        <v>0</v>
      </c>
      <c r="I27" s="89">
        <v>0</v>
      </c>
      <c r="J27" s="91" t="e">
        <f t="shared" si="1"/>
        <v>#DIV/0!</v>
      </c>
      <c r="K27" s="89">
        <v>0</v>
      </c>
      <c r="L27" s="89">
        <v>0</v>
      </c>
      <c r="M27" s="91">
        <v>349.21</v>
      </c>
      <c r="N27" s="91">
        <v>0</v>
      </c>
      <c r="O27" s="91">
        <f t="shared" si="2"/>
        <v>0</v>
      </c>
      <c r="P27" s="91">
        <v>0</v>
      </c>
      <c r="Q27" s="91" t="e">
        <f t="shared" si="3"/>
        <v>#DIV/0!</v>
      </c>
      <c r="R27" s="91">
        <v>0</v>
      </c>
      <c r="S27" s="91">
        <v>0</v>
      </c>
    </row>
    <row r="28" spans="1:19" ht="75">
      <c r="A28" s="128">
        <v>19</v>
      </c>
      <c r="B28" s="90" t="s">
        <v>291</v>
      </c>
      <c r="C28" s="90" t="s">
        <v>296</v>
      </c>
      <c r="D28" s="90" t="s">
        <v>293</v>
      </c>
      <c r="E28" s="90" t="s">
        <v>128</v>
      </c>
      <c r="F28" s="89">
        <v>15</v>
      </c>
      <c r="G28" s="89">
        <v>12</v>
      </c>
      <c r="H28" s="91">
        <f t="shared" si="0"/>
        <v>80</v>
      </c>
      <c r="I28" s="89">
        <v>12</v>
      </c>
      <c r="J28" s="91">
        <f t="shared" si="1"/>
        <v>100</v>
      </c>
      <c r="K28" s="89">
        <v>12</v>
      </c>
      <c r="L28" s="89">
        <v>12</v>
      </c>
      <c r="M28" s="91">
        <v>2140</v>
      </c>
      <c r="N28" s="91">
        <v>1797.86</v>
      </c>
      <c r="O28" s="91">
        <f t="shared" si="2"/>
        <v>84.012149532710282</v>
      </c>
      <c r="P28" s="91">
        <v>1797.86</v>
      </c>
      <c r="Q28" s="91">
        <f t="shared" si="3"/>
        <v>100</v>
      </c>
      <c r="R28" s="91">
        <v>1797.86</v>
      </c>
      <c r="S28" s="91">
        <v>1797.86</v>
      </c>
    </row>
    <row r="29" spans="1:19" ht="75">
      <c r="A29" s="128">
        <v>20</v>
      </c>
      <c r="B29" s="90" t="s">
        <v>291</v>
      </c>
      <c r="C29" s="90" t="s">
        <v>297</v>
      </c>
      <c r="D29" s="90" t="s">
        <v>293</v>
      </c>
      <c r="E29" s="90" t="s">
        <v>128</v>
      </c>
      <c r="F29" s="89">
        <v>11</v>
      </c>
      <c r="G29" s="89">
        <v>11</v>
      </c>
      <c r="H29" s="91">
        <f t="shared" si="0"/>
        <v>100</v>
      </c>
      <c r="I29" s="89">
        <v>11</v>
      </c>
      <c r="J29" s="91">
        <f t="shared" si="1"/>
        <v>100</v>
      </c>
      <c r="K29" s="89">
        <v>11</v>
      </c>
      <c r="L29" s="89">
        <v>11</v>
      </c>
      <c r="M29" s="91">
        <v>2376.46</v>
      </c>
      <c r="N29" s="91">
        <v>2500.46</v>
      </c>
      <c r="O29" s="91">
        <f t="shared" si="2"/>
        <v>105.21784503000259</v>
      </c>
      <c r="P29" s="91">
        <v>2500.46</v>
      </c>
      <c r="Q29" s="91">
        <f t="shared" si="3"/>
        <v>100</v>
      </c>
      <c r="R29" s="91">
        <v>2500.46</v>
      </c>
      <c r="S29" s="91">
        <v>2500.46</v>
      </c>
    </row>
    <row r="30" spans="1:19" ht="75">
      <c r="A30" s="128">
        <v>21</v>
      </c>
      <c r="B30" s="90" t="s">
        <v>291</v>
      </c>
      <c r="C30" s="90" t="s">
        <v>298</v>
      </c>
      <c r="D30" s="90" t="s">
        <v>293</v>
      </c>
      <c r="E30" s="90" t="s">
        <v>128</v>
      </c>
      <c r="F30" s="89">
        <v>7</v>
      </c>
      <c r="G30" s="89">
        <v>7</v>
      </c>
      <c r="H30" s="91">
        <f t="shared" si="0"/>
        <v>100</v>
      </c>
      <c r="I30" s="89">
        <v>7</v>
      </c>
      <c r="J30" s="91">
        <f t="shared" si="1"/>
        <v>100</v>
      </c>
      <c r="K30" s="89">
        <v>7</v>
      </c>
      <c r="L30" s="89">
        <v>7</v>
      </c>
      <c r="M30" s="91">
        <v>1032</v>
      </c>
      <c r="N30" s="91">
        <v>1085.55</v>
      </c>
      <c r="O30" s="91">
        <f t="shared" si="2"/>
        <v>105.18895348837209</v>
      </c>
      <c r="P30" s="91">
        <v>1085.55</v>
      </c>
      <c r="Q30" s="91">
        <f t="shared" si="3"/>
        <v>100</v>
      </c>
      <c r="R30" s="91">
        <v>1085.55</v>
      </c>
      <c r="S30" s="91">
        <v>1085.55</v>
      </c>
    </row>
    <row r="31" spans="1:19" ht="75">
      <c r="A31" s="128">
        <v>22</v>
      </c>
      <c r="B31" s="90" t="s">
        <v>291</v>
      </c>
      <c r="C31" s="90" t="s">
        <v>299</v>
      </c>
      <c r="D31" s="90" t="s">
        <v>293</v>
      </c>
      <c r="E31" s="90" t="s">
        <v>128</v>
      </c>
      <c r="F31" s="89">
        <v>2</v>
      </c>
      <c r="G31" s="89">
        <v>5</v>
      </c>
      <c r="H31" s="91">
        <f t="shared" si="0"/>
        <v>250</v>
      </c>
      <c r="I31" s="89">
        <v>5</v>
      </c>
      <c r="J31" s="91">
        <f t="shared" si="1"/>
        <v>100</v>
      </c>
      <c r="K31" s="89">
        <v>5</v>
      </c>
      <c r="L31" s="89">
        <v>5</v>
      </c>
      <c r="M31" s="93">
        <v>482.16</v>
      </c>
      <c r="N31" s="93">
        <v>1225.9100000000001</v>
      </c>
      <c r="O31" s="91">
        <f t="shared" si="2"/>
        <v>254.25377468060395</v>
      </c>
      <c r="P31" s="93">
        <v>1225.9100000000001</v>
      </c>
      <c r="Q31" s="91">
        <f t="shared" si="3"/>
        <v>100</v>
      </c>
      <c r="R31" s="93">
        <v>1225.9100000000001</v>
      </c>
      <c r="S31" s="93">
        <v>1225.9100000000001</v>
      </c>
    </row>
    <row r="32" spans="1:19" ht="195">
      <c r="A32" s="128">
        <v>23</v>
      </c>
      <c r="B32" s="90" t="s">
        <v>300</v>
      </c>
      <c r="C32" s="90"/>
      <c r="D32" s="90" t="s">
        <v>301</v>
      </c>
      <c r="E32" s="90" t="s">
        <v>271</v>
      </c>
      <c r="F32" s="89">
        <v>1</v>
      </c>
      <c r="G32" s="89">
        <v>1</v>
      </c>
      <c r="H32" s="91">
        <f t="shared" si="0"/>
        <v>100</v>
      </c>
      <c r="I32" s="89">
        <v>1</v>
      </c>
      <c r="J32" s="91">
        <f t="shared" si="1"/>
        <v>100</v>
      </c>
      <c r="K32" s="89">
        <v>1</v>
      </c>
      <c r="L32" s="89">
        <v>1</v>
      </c>
      <c r="M32" s="91">
        <v>355.52</v>
      </c>
      <c r="N32" s="91">
        <v>376.4</v>
      </c>
      <c r="O32" s="91">
        <f t="shared" si="2"/>
        <v>105.87308730873086</v>
      </c>
      <c r="P32" s="91">
        <v>405.4</v>
      </c>
      <c r="Q32" s="91">
        <f t="shared" si="3"/>
        <v>107.70456960680129</v>
      </c>
      <c r="R32" s="91">
        <v>405.4</v>
      </c>
      <c r="S32" s="91">
        <v>405.4</v>
      </c>
    </row>
    <row r="33" spans="1:19" ht="60">
      <c r="A33" s="128">
        <v>24</v>
      </c>
      <c r="B33" s="90" t="s">
        <v>302</v>
      </c>
      <c r="C33" s="90"/>
      <c r="D33" s="90" t="s">
        <v>303</v>
      </c>
      <c r="E33" s="90" t="s">
        <v>271</v>
      </c>
      <c r="F33" s="89">
        <v>21668</v>
      </c>
      <c r="G33" s="89">
        <v>20139</v>
      </c>
      <c r="H33" s="91">
        <f t="shared" si="0"/>
        <v>92.943511168543466</v>
      </c>
      <c r="I33" s="89">
        <v>19200</v>
      </c>
      <c r="J33" s="91">
        <f t="shared" si="1"/>
        <v>95.337405035006711</v>
      </c>
      <c r="K33" s="89">
        <v>19200</v>
      </c>
      <c r="L33" s="89">
        <v>19200</v>
      </c>
      <c r="M33" s="91">
        <v>82691.100000000006</v>
      </c>
      <c r="N33" s="91">
        <v>85426.3</v>
      </c>
      <c r="O33" s="91">
        <f t="shared" si="2"/>
        <v>103.30773202920265</v>
      </c>
      <c r="P33" s="91">
        <v>90989.3</v>
      </c>
      <c r="Q33" s="91">
        <f t="shared" si="3"/>
        <v>106.51204605607407</v>
      </c>
      <c r="R33" s="91">
        <v>90989.3</v>
      </c>
      <c r="S33" s="91">
        <v>90989.3</v>
      </c>
    </row>
    <row r="34" spans="1:19" ht="105">
      <c r="A34" s="128">
        <v>25</v>
      </c>
      <c r="B34" s="90" t="s">
        <v>304</v>
      </c>
      <c r="C34" s="90"/>
      <c r="D34" s="90" t="s">
        <v>305</v>
      </c>
      <c r="E34" s="90" t="s">
        <v>271</v>
      </c>
      <c r="F34" s="89">
        <v>5519.6</v>
      </c>
      <c r="G34" s="89">
        <v>5739</v>
      </c>
      <c r="H34" s="91">
        <f t="shared" si="0"/>
        <v>103.97492571925501</v>
      </c>
      <c r="I34" s="93">
        <v>5300</v>
      </c>
      <c r="J34" s="91">
        <f t="shared" si="1"/>
        <v>92.350583725387708</v>
      </c>
      <c r="K34" s="89">
        <v>5300</v>
      </c>
      <c r="L34" s="89">
        <v>5300</v>
      </c>
      <c r="M34" s="91">
        <v>40692.6</v>
      </c>
      <c r="N34" s="91">
        <v>42044</v>
      </c>
      <c r="O34" s="91">
        <f t="shared" si="2"/>
        <v>103.32099693801821</v>
      </c>
      <c r="P34" s="91">
        <v>47653.8</v>
      </c>
      <c r="Q34" s="91">
        <f t="shared" si="3"/>
        <v>113.34268861193037</v>
      </c>
      <c r="R34" s="91">
        <v>47653.8</v>
      </c>
      <c r="S34" s="91">
        <v>47653.8</v>
      </c>
    </row>
    <row r="35" spans="1:19" ht="30">
      <c r="A35" s="128">
        <v>26</v>
      </c>
      <c r="B35" s="90" t="s">
        <v>306</v>
      </c>
      <c r="C35" s="90"/>
      <c r="D35" s="90" t="s">
        <v>175</v>
      </c>
      <c r="E35" s="90" t="s">
        <v>307</v>
      </c>
      <c r="F35" s="89">
        <v>37</v>
      </c>
      <c r="G35" s="89">
        <v>22</v>
      </c>
      <c r="H35" s="91">
        <f t="shared" si="0"/>
        <v>59.45945945945946</v>
      </c>
      <c r="I35" s="89">
        <v>22</v>
      </c>
      <c r="J35" s="91">
        <f t="shared" si="1"/>
        <v>100</v>
      </c>
      <c r="K35" s="89">
        <v>22</v>
      </c>
      <c r="L35" s="89">
        <v>22</v>
      </c>
      <c r="M35" s="91">
        <v>1940.1</v>
      </c>
      <c r="N35" s="91">
        <v>2178</v>
      </c>
      <c r="O35" s="91">
        <f t="shared" si="2"/>
        <v>112.26225452296275</v>
      </c>
      <c r="P35" s="91">
        <v>2170</v>
      </c>
      <c r="Q35" s="91">
        <f t="shared" si="3"/>
        <v>99.632690541781457</v>
      </c>
      <c r="R35" s="91">
        <v>2170</v>
      </c>
      <c r="S35" s="91">
        <v>2170</v>
      </c>
    </row>
    <row r="36" spans="1:19" ht="45">
      <c r="A36" s="128">
        <v>27</v>
      </c>
      <c r="B36" s="90" t="s">
        <v>308</v>
      </c>
      <c r="C36" s="90"/>
      <c r="D36" s="90" t="s">
        <v>309</v>
      </c>
      <c r="E36" s="90" t="s">
        <v>38</v>
      </c>
      <c r="F36" s="89">
        <v>29455</v>
      </c>
      <c r="G36" s="89">
        <v>13916</v>
      </c>
      <c r="H36" s="91">
        <f t="shared" si="0"/>
        <v>47.244949923612289</v>
      </c>
      <c r="I36" s="89">
        <v>17850</v>
      </c>
      <c r="J36" s="91">
        <f t="shared" si="1"/>
        <v>128.26961770623743</v>
      </c>
      <c r="K36" s="89">
        <v>17850</v>
      </c>
      <c r="L36" s="89">
        <v>17850</v>
      </c>
      <c r="M36" s="91">
        <v>12850</v>
      </c>
      <c r="N36" s="91">
        <v>12812.2</v>
      </c>
      <c r="O36" s="91">
        <f t="shared" si="2"/>
        <v>99.705836575875495</v>
      </c>
      <c r="P36" s="91">
        <v>14499.6</v>
      </c>
      <c r="Q36" s="91">
        <f t="shared" si="3"/>
        <v>113.17025959632225</v>
      </c>
      <c r="R36" s="91">
        <v>14499.6</v>
      </c>
      <c r="S36" s="91">
        <v>14499.6</v>
      </c>
    </row>
    <row r="37" spans="1:19" ht="30">
      <c r="A37" s="128">
        <v>28</v>
      </c>
      <c r="B37" s="90" t="s">
        <v>310</v>
      </c>
      <c r="C37" s="90"/>
      <c r="D37" s="90" t="s">
        <v>311</v>
      </c>
      <c r="E37" s="90" t="s">
        <v>271</v>
      </c>
      <c r="F37" s="89">
        <v>71203</v>
      </c>
      <c r="G37" s="89">
        <v>66676</v>
      </c>
      <c r="H37" s="91">
        <f t="shared" si="0"/>
        <v>93.642121820709804</v>
      </c>
      <c r="I37" s="89">
        <v>67244</v>
      </c>
      <c r="J37" s="91">
        <f t="shared" si="1"/>
        <v>100.85188073669687</v>
      </c>
      <c r="K37" s="89">
        <v>67244</v>
      </c>
      <c r="L37" s="89">
        <v>67244</v>
      </c>
      <c r="M37" s="91">
        <v>19931.03</v>
      </c>
      <c r="N37" s="91">
        <v>18304.5</v>
      </c>
      <c r="O37" s="91">
        <f t="shared" si="2"/>
        <v>91.83920750708819</v>
      </c>
      <c r="P37" s="91">
        <v>20303.400000000001</v>
      </c>
      <c r="Q37" s="91">
        <f t="shared" si="3"/>
        <v>110.92026550848153</v>
      </c>
      <c r="R37" s="91">
        <v>20303.400000000001</v>
      </c>
      <c r="S37" s="91">
        <v>20303.400000000001</v>
      </c>
    </row>
    <row r="38" spans="1:19" ht="60">
      <c r="A38" s="128">
        <v>29</v>
      </c>
      <c r="B38" s="90" t="s">
        <v>312</v>
      </c>
      <c r="C38" s="90"/>
      <c r="D38" s="90" t="s">
        <v>313</v>
      </c>
      <c r="E38" s="90" t="s">
        <v>38</v>
      </c>
      <c r="F38" s="89">
        <v>0</v>
      </c>
      <c r="G38" s="89">
        <v>1200</v>
      </c>
      <c r="H38" s="91" t="s">
        <v>39</v>
      </c>
      <c r="I38" s="89">
        <v>1080</v>
      </c>
      <c r="J38" s="91">
        <f t="shared" si="1"/>
        <v>90</v>
      </c>
      <c r="K38" s="89">
        <v>1080</v>
      </c>
      <c r="L38" s="89">
        <v>1080</v>
      </c>
      <c r="M38" s="91">
        <v>0</v>
      </c>
      <c r="N38" s="91">
        <v>12000</v>
      </c>
      <c r="O38" s="91" t="e">
        <f t="shared" si="2"/>
        <v>#DIV/0!</v>
      </c>
      <c r="P38" s="91">
        <v>15592.4</v>
      </c>
      <c r="Q38" s="91">
        <f t="shared" si="3"/>
        <v>129.93666666666667</v>
      </c>
      <c r="R38" s="91">
        <v>15592.4</v>
      </c>
      <c r="S38" s="91">
        <v>15592.4</v>
      </c>
    </row>
    <row r="39" spans="1:19" ht="135">
      <c r="A39" s="128">
        <v>30</v>
      </c>
      <c r="B39" s="90" t="s">
        <v>314</v>
      </c>
      <c r="C39" s="90"/>
      <c r="D39" s="90" t="s">
        <v>315</v>
      </c>
      <c r="E39" s="90" t="s">
        <v>38</v>
      </c>
      <c r="F39" s="89">
        <v>0</v>
      </c>
      <c r="G39" s="89" t="s">
        <v>18</v>
      </c>
      <c r="H39" s="91" t="s">
        <v>39</v>
      </c>
      <c r="I39" s="89">
        <v>2</v>
      </c>
      <c r="J39" s="91">
        <f t="shared" si="1"/>
        <v>100</v>
      </c>
      <c r="K39" s="89">
        <v>2</v>
      </c>
      <c r="L39" s="89">
        <v>2</v>
      </c>
      <c r="M39" s="91">
        <v>0</v>
      </c>
      <c r="N39" s="91">
        <v>3591.8</v>
      </c>
      <c r="O39" s="91" t="e">
        <f t="shared" si="2"/>
        <v>#DIV/0!</v>
      </c>
      <c r="P39" s="91">
        <v>13765</v>
      </c>
      <c r="Q39" s="91">
        <f t="shared" si="3"/>
        <v>383.23403307533823</v>
      </c>
      <c r="R39" s="91">
        <v>13765</v>
      </c>
      <c r="S39" s="91">
        <v>13765</v>
      </c>
    </row>
    <row r="40" spans="1:19" ht="45">
      <c r="A40" s="128">
        <v>31</v>
      </c>
      <c r="B40" s="90" t="s">
        <v>316</v>
      </c>
      <c r="C40" s="90"/>
      <c r="D40" s="90" t="s">
        <v>313</v>
      </c>
      <c r="E40" s="90" t="s">
        <v>38</v>
      </c>
      <c r="F40" s="89">
        <v>0</v>
      </c>
      <c r="G40" s="89">
        <v>1200</v>
      </c>
      <c r="H40" s="91" t="s">
        <v>39</v>
      </c>
      <c r="I40" s="89">
        <v>1080</v>
      </c>
      <c r="J40" s="91">
        <f t="shared" si="1"/>
        <v>90</v>
      </c>
      <c r="K40" s="89">
        <v>1080</v>
      </c>
      <c r="L40" s="89">
        <v>1080</v>
      </c>
      <c r="M40" s="91">
        <v>0</v>
      </c>
      <c r="N40" s="91">
        <v>2283.6999999999998</v>
      </c>
      <c r="O40" s="91" t="e">
        <f t="shared" si="2"/>
        <v>#DIV/0!</v>
      </c>
      <c r="P40" s="91">
        <v>8800.1</v>
      </c>
      <c r="Q40" s="91">
        <f t="shared" si="3"/>
        <v>385.34395936418974</v>
      </c>
      <c r="R40" s="91">
        <v>8800.1</v>
      </c>
      <c r="S40" s="91">
        <v>8800.1</v>
      </c>
    </row>
    <row r="41" spans="1:19" ht="90">
      <c r="A41" s="128">
        <v>32</v>
      </c>
      <c r="B41" s="90" t="s">
        <v>317</v>
      </c>
      <c r="C41" s="90" t="s">
        <v>318</v>
      </c>
      <c r="D41" s="90" t="s">
        <v>233</v>
      </c>
      <c r="E41" s="90" t="s">
        <v>128</v>
      </c>
      <c r="F41" s="89">
        <v>179</v>
      </c>
      <c r="G41" s="89">
        <v>175</v>
      </c>
      <c r="H41" s="91">
        <f t="shared" si="0"/>
        <v>97.765363128491629</v>
      </c>
      <c r="I41" s="89">
        <v>175</v>
      </c>
      <c r="J41" s="91">
        <f t="shared" si="1"/>
        <v>100</v>
      </c>
      <c r="K41" s="89">
        <v>175</v>
      </c>
      <c r="L41" s="89">
        <v>175</v>
      </c>
      <c r="M41" s="91">
        <v>11297.62</v>
      </c>
      <c r="N41" s="91">
        <v>11970.76</v>
      </c>
      <c r="O41" s="91">
        <f t="shared" si="2"/>
        <v>105.95824607306672</v>
      </c>
      <c r="P41" s="91">
        <v>13034.51</v>
      </c>
      <c r="Q41" s="91">
        <f t="shared" si="3"/>
        <v>108.88623612870028</v>
      </c>
      <c r="R41" s="91">
        <v>11731.06</v>
      </c>
      <c r="S41" s="91">
        <v>11731.06</v>
      </c>
    </row>
    <row r="42" spans="1:19" ht="90">
      <c r="A42" s="128">
        <v>33</v>
      </c>
      <c r="B42" s="90" t="s">
        <v>317</v>
      </c>
      <c r="C42" s="90" t="s">
        <v>319</v>
      </c>
      <c r="D42" s="90" t="s">
        <v>233</v>
      </c>
      <c r="E42" s="90" t="s">
        <v>128</v>
      </c>
      <c r="F42" s="89">
        <v>59</v>
      </c>
      <c r="G42" s="89">
        <v>60</v>
      </c>
      <c r="H42" s="91">
        <f t="shared" si="0"/>
        <v>101.69491525423729</v>
      </c>
      <c r="I42" s="89">
        <v>60</v>
      </c>
      <c r="J42" s="91">
        <f t="shared" si="1"/>
        <v>100</v>
      </c>
      <c r="K42" s="89">
        <v>60</v>
      </c>
      <c r="L42" s="89">
        <v>60</v>
      </c>
      <c r="M42" s="91">
        <v>2852.76</v>
      </c>
      <c r="N42" s="91">
        <v>3022.73</v>
      </c>
      <c r="O42" s="91">
        <f t="shared" si="2"/>
        <v>105.95808970961454</v>
      </c>
      <c r="P42" s="91">
        <v>3291.34</v>
      </c>
      <c r="Q42" s="91">
        <f t="shared" si="3"/>
        <v>108.88633784691322</v>
      </c>
      <c r="R42" s="91">
        <v>2962.21</v>
      </c>
      <c r="S42" s="91">
        <v>2962.21</v>
      </c>
    </row>
    <row r="43" spans="1:19" ht="90">
      <c r="A43" s="128">
        <v>34</v>
      </c>
      <c r="B43" s="90" t="s">
        <v>317</v>
      </c>
      <c r="C43" s="90" t="s">
        <v>320</v>
      </c>
      <c r="D43" s="90" t="s">
        <v>233</v>
      </c>
      <c r="E43" s="90" t="s">
        <v>128</v>
      </c>
      <c r="F43" s="89">
        <v>42</v>
      </c>
      <c r="G43" s="89">
        <v>32</v>
      </c>
      <c r="H43" s="91">
        <f t="shared" si="0"/>
        <v>76.19047619047619</v>
      </c>
      <c r="I43" s="89">
        <v>32</v>
      </c>
      <c r="J43" s="91">
        <f t="shared" si="1"/>
        <v>100</v>
      </c>
      <c r="K43" s="89">
        <v>32</v>
      </c>
      <c r="L43" s="89">
        <v>32</v>
      </c>
      <c r="M43" s="91">
        <v>1901.84</v>
      </c>
      <c r="N43" s="91">
        <v>1612.12</v>
      </c>
      <c r="O43" s="91">
        <f t="shared" si="2"/>
        <v>84.766331552601699</v>
      </c>
      <c r="P43" s="91">
        <v>1755.38</v>
      </c>
      <c r="Q43" s="91">
        <f t="shared" si="3"/>
        <v>108.88643525295885</v>
      </c>
      <c r="R43" s="91">
        <v>1579.84</v>
      </c>
      <c r="S43" s="91">
        <v>1579.84</v>
      </c>
    </row>
    <row r="44" spans="1:19" ht="90">
      <c r="A44" s="128">
        <v>35</v>
      </c>
      <c r="B44" s="90" t="s">
        <v>317</v>
      </c>
      <c r="C44" s="90" t="s">
        <v>321</v>
      </c>
      <c r="D44" s="90" t="s">
        <v>233</v>
      </c>
      <c r="E44" s="90" t="s">
        <v>128</v>
      </c>
      <c r="F44" s="89">
        <v>63</v>
      </c>
      <c r="G44" s="89">
        <v>70</v>
      </c>
      <c r="H44" s="91">
        <f t="shared" si="0"/>
        <v>111.11111111111111</v>
      </c>
      <c r="I44" s="89">
        <v>70</v>
      </c>
      <c r="J44" s="91">
        <f t="shared" si="1"/>
        <v>100</v>
      </c>
      <c r="K44" s="89">
        <v>70</v>
      </c>
      <c r="L44" s="89">
        <v>70</v>
      </c>
      <c r="M44" s="91">
        <v>2882.56</v>
      </c>
      <c r="N44" s="91">
        <v>3558.87</v>
      </c>
      <c r="O44" s="91">
        <f t="shared" si="2"/>
        <v>123.46213088365896</v>
      </c>
      <c r="P44" s="91">
        <v>3875.12</v>
      </c>
      <c r="Q44" s="91">
        <f t="shared" si="3"/>
        <v>108.88624760106438</v>
      </c>
      <c r="R44" s="91">
        <v>3487.68</v>
      </c>
      <c r="S44" s="91">
        <v>3487.68</v>
      </c>
    </row>
    <row r="45" spans="1:19" ht="90">
      <c r="A45" s="128">
        <v>36</v>
      </c>
      <c r="B45" s="90" t="s">
        <v>317</v>
      </c>
      <c r="C45" s="90" t="s">
        <v>321</v>
      </c>
      <c r="D45" s="90" t="s">
        <v>233</v>
      </c>
      <c r="E45" s="90" t="s">
        <v>128</v>
      </c>
      <c r="F45" s="89">
        <v>573</v>
      </c>
      <c r="G45" s="89">
        <v>565</v>
      </c>
      <c r="H45" s="91">
        <f t="shared" si="0"/>
        <v>98.603839441535783</v>
      </c>
      <c r="I45" s="89">
        <v>565</v>
      </c>
      <c r="J45" s="91">
        <f t="shared" si="1"/>
        <v>100</v>
      </c>
      <c r="K45" s="89">
        <v>565</v>
      </c>
      <c r="L45" s="89">
        <v>565</v>
      </c>
      <c r="M45" s="91">
        <v>39968.629999999997</v>
      </c>
      <c r="N45" s="91">
        <v>38924.15</v>
      </c>
      <c r="O45" s="91">
        <f t="shared" si="2"/>
        <v>97.386750559126</v>
      </c>
      <c r="P45" s="91">
        <v>42366.879999999997</v>
      </c>
      <c r="Q45" s="91">
        <f t="shared" si="3"/>
        <v>108.84471465658207</v>
      </c>
      <c r="R45" s="91">
        <v>38130.19</v>
      </c>
      <c r="S45" s="91">
        <v>38130.19</v>
      </c>
    </row>
    <row r="46" spans="1:19" ht="90">
      <c r="A46" s="128">
        <v>37</v>
      </c>
      <c r="B46" s="90" t="s">
        <v>317</v>
      </c>
      <c r="C46" s="90" t="s">
        <v>322</v>
      </c>
      <c r="D46" s="90" t="s">
        <v>233</v>
      </c>
      <c r="E46" s="90" t="s">
        <v>128</v>
      </c>
      <c r="F46" s="89">
        <v>32</v>
      </c>
      <c r="G46" s="89">
        <v>45</v>
      </c>
      <c r="H46" s="91">
        <f t="shared" si="0"/>
        <v>140.625</v>
      </c>
      <c r="I46" s="89">
        <v>45</v>
      </c>
      <c r="J46" s="91">
        <f t="shared" si="1"/>
        <v>100</v>
      </c>
      <c r="K46" s="89">
        <v>45</v>
      </c>
      <c r="L46" s="89">
        <v>45</v>
      </c>
      <c r="M46" s="91">
        <v>1559.85</v>
      </c>
      <c r="N46" s="91">
        <v>3098.99</v>
      </c>
      <c r="O46" s="91">
        <f t="shared" si="2"/>
        <v>198.67230823476615</v>
      </c>
      <c r="P46" s="91">
        <v>3374.38</v>
      </c>
      <c r="Q46" s="91">
        <f t="shared" si="3"/>
        <v>108.88644364776911</v>
      </c>
      <c r="R46" s="91">
        <v>3036.94</v>
      </c>
      <c r="S46" s="91">
        <v>3036.94</v>
      </c>
    </row>
    <row r="47" spans="1:19" ht="90">
      <c r="A47" s="128">
        <v>38</v>
      </c>
      <c r="B47" s="90" t="s">
        <v>317</v>
      </c>
      <c r="C47" s="90" t="s">
        <v>320</v>
      </c>
      <c r="D47" s="90" t="s">
        <v>233</v>
      </c>
      <c r="E47" s="90" t="s">
        <v>128</v>
      </c>
      <c r="F47" s="89">
        <v>18</v>
      </c>
      <c r="G47" s="89">
        <v>27</v>
      </c>
      <c r="H47" s="91">
        <f t="shared" si="0"/>
        <v>150</v>
      </c>
      <c r="I47" s="89">
        <v>27</v>
      </c>
      <c r="J47" s="91">
        <f t="shared" si="1"/>
        <v>100</v>
      </c>
      <c r="K47" s="89">
        <v>27</v>
      </c>
      <c r="L47" s="89">
        <v>27</v>
      </c>
      <c r="M47" s="91">
        <v>974.91</v>
      </c>
      <c r="N47" s="91">
        <v>1859.4</v>
      </c>
      <c r="O47" s="91">
        <f t="shared" si="2"/>
        <v>190.72529771978955</v>
      </c>
      <c r="P47" s="91">
        <v>2024.63</v>
      </c>
      <c r="Q47" s="91">
        <f t="shared" si="3"/>
        <v>108.88619984941379</v>
      </c>
      <c r="R47" s="91">
        <v>1822.16</v>
      </c>
      <c r="S47" s="91">
        <v>1822.16</v>
      </c>
    </row>
    <row r="48" spans="1:19" ht="45">
      <c r="A48" s="128">
        <v>39</v>
      </c>
      <c r="B48" s="90" t="s">
        <v>323</v>
      </c>
      <c r="C48" s="90"/>
      <c r="D48" s="90" t="s">
        <v>207</v>
      </c>
      <c r="E48" s="90" t="s">
        <v>324</v>
      </c>
      <c r="F48" s="89">
        <v>193906</v>
      </c>
      <c r="G48" s="89">
        <v>212526</v>
      </c>
      <c r="H48" s="91">
        <f t="shared" si="0"/>
        <v>109.60259094612854</v>
      </c>
      <c r="I48" s="89">
        <v>212526</v>
      </c>
      <c r="J48" s="91">
        <f t="shared" si="1"/>
        <v>100</v>
      </c>
      <c r="K48" s="89">
        <v>212526</v>
      </c>
      <c r="L48" s="89">
        <v>212526</v>
      </c>
      <c r="M48" s="91">
        <v>2617.21</v>
      </c>
      <c r="N48" s="91">
        <v>2728.55</v>
      </c>
      <c r="O48" s="91">
        <f t="shared" si="2"/>
        <v>104.25414850164871</v>
      </c>
      <c r="P48" s="91">
        <v>2971.01</v>
      </c>
      <c r="Q48" s="91">
        <f t="shared" si="3"/>
        <v>108.88603837202911</v>
      </c>
      <c r="R48" s="91">
        <v>2673.91</v>
      </c>
      <c r="S48" s="91">
        <v>2673.91</v>
      </c>
    </row>
    <row r="49" spans="1:19" ht="45">
      <c r="A49" s="128">
        <v>40</v>
      </c>
      <c r="B49" s="90" t="s">
        <v>323</v>
      </c>
      <c r="C49" s="90"/>
      <c r="D49" s="90" t="s">
        <v>207</v>
      </c>
      <c r="E49" s="90" t="s">
        <v>324</v>
      </c>
      <c r="F49" s="89">
        <v>18864</v>
      </c>
      <c r="G49" s="89">
        <v>16992</v>
      </c>
      <c r="H49" s="91">
        <f t="shared" si="0"/>
        <v>90.07633587786259</v>
      </c>
      <c r="I49" s="89">
        <v>13968</v>
      </c>
      <c r="J49" s="91">
        <f t="shared" si="1"/>
        <v>82.203389830508485</v>
      </c>
      <c r="K49" s="89">
        <v>13968</v>
      </c>
      <c r="L49" s="89">
        <v>13968</v>
      </c>
      <c r="M49" s="91">
        <v>191.93</v>
      </c>
      <c r="N49" s="91">
        <v>179.33</v>
      </c>
      <c r="O49" s="91">
        <f t="shared" si="2"/>
        <v>93.435106549262755</v>
      </c>
      <c r="P49" s="91">
        <v>195.27</v>
      </c>
      <c r="Q49" s="91">
        <f t="shared" si="3"/>
        <v>108.88864105280767</v>
      </c>
      <c r="R49" s="91">
        <v>175.74</v>
      </c>
      <c r="S49" s="91">
        <v>175.74</v>
      </c>
    </row>
    <row r="50" spans="1:19" ht="45">
      <c r="A50" s="128">
        <v>41</v>
      </c>
      <c r="B50" s="90" t="s">
        <v>323</v>
      </c>
      <c r="C50" s="90"/>
      <c r="D50" s="90" t="s">
        <v>207</v>
      </c>
      <c r="E50" s="90" t="s">
        <v>324</v>
      </c>
      <c r="F50" s="89">
        <v>48798</v>
      </c>
      <c r="G50" s="89">
        <v>47988</v>
      </c>
      <c r="H50" s="91">
        <f t="shared" si="0"/>
        <v>98.340095905569896</v>
      </c>
      <c r="I50" s="89">
        <v>47988</v>
      </c>
      <c r="J50" s="91">
        <f t="shared" si="1"/>
        <v>100</v>
      </c>
      <c r="K50" s="89">
        <v>47988</v>
      </c>
      <c r="L50" s="89">
        <v>47988</v>
      </c>
      <c r="M50" s="91">
        <v>570.98</v>
      </c>
      <c r="N50" s="91">
        <v>599.89</v>
      </c>
      <c r="O50" s="91">
        <f t="shared" si="2"/>
        <v>105.0632246313356</v>
      </c>
      <c r="P50" s="91">
        <v>669.98</v>
      </c>
      <c r="Q50" s="91">
        <f t="shared" si="3"/>
        <v>111.68380869826136</v>
      </c>
      <c r="R50" s="91">
        <v>602.99</v>
      </c>
      <c r="S50" s="91">
        <v>602.99</v>
      </c>
    </row>
    <row r="51" spans="1:19" ht="60">
      <c r="A51" s="128">
        <v>42</v>
      </c>
      <c r="B51" s="90" t="s">
        <v>325</v>
      </c>
      <c r="C51" s="90"/>
      <c r="D51" s="90" t="s">
        <v>207</v>
      </c>
      <c r="E51" s="90" t="s">
        <v>324</v>
      </c>
      <c r="F51" s="89">
        <v>18576</v>
      </c>
      <c r="G51" s="89">
        <v>13968</v>
      </c>
      <c r="H51" s="91">
        <f t="shared" si="0"/>
        <v>75.193798449612402</v>
      </c>
      <c r="I51" s="89">
        <v>16992</v>
      </c>
      <c r="J51" s="91">
        <f t="shared" si="1"/>
        <v>121.64948453608247</v>
      </c>
      <c r="K51" s="89">
        <v>16992</v>
      </c>
      <c r="L51" s="89">
        <v>16992</v>
      </c>
      <c r="M51" s="91">
        <v>201.96</v>
      </c>
      <c r="N51" s="91">
        <v>218.15</v>
      </c>
      <c r="O51" s="91">
        <f t="shared" si="2"/>
        <v>108.01643889879185</v>
      </c>
      <c r="P51" s="91">
        <v>237.54</v>
      </c>
      <c r="Q51" s="91">
        <f t="shared" si="3"/>
        <v>108.88837955535182</v>
      </c>
      <c r="R51" s="91">
        <v>213.79</v>
      </c>
      <c r="S51" s="91">
        <v>213.79</v>
      </c>
    </row>
    <row r="52" spans="1:19" ht="105">
      <c r="A52" s="128">
        <v>43</v>
      </c>
      <c r="B52" s="90" t="s">
        <v>326</v>
      </c>
      <c r="C52" s="90"/>
      <c r="D52" s="90" t="s">
        <v>207</v>
      </c>
      <c r="E52" s="90" t="s">
        <v>324</v>
      </c>
      <c r="F52" s="89">
        <v>3384</v>
      </c>
      <c r="G52" s="89">
        <v>8424</v>
      </c>
      <c r="H52" s="91">
        <f t="shared" si="0"/>
        <v>248.93617021276597</v>
      </c>
      <c r="I52" s="89">
        <v>8424</v>
      </c>
      <c r="J52" s="91">
        <f t="shared" si="1"/>
        <v>100</v>
      </c>
      <c r="K52" s="89">
        <v>8424</v>
      </c>
      <c r="L52" s="89">
        <v>8424</v>
      </c>
      <c r="M52" s="91">
        <v>42.75</v>
      </c>
      <c r="N52" s="91">
        <v>108.15</v>
      </c>
      <c r="O52" s="91">
        <f t="shared" si="2"/>
        <v>252.98245614035091</v>
      </c>
      <c r="P52" s="91">
        <v>117.76</v>
      </c>
      <c r="Q52" s="91">
        <f t="shared" si="3"/>
        <v>108.88580674988442</v>
      </c>
      <c r="R52" s="91">
        <v>105.99</v>
      </c>
      <c r="S52" s="91">
        <v>105.99</v>
      </c>
    </row>
    <row r="53" spans="1:19" ht="18" customHeight="1">
      <c r="A53" s="304" t="s">
        <v>263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98">
        <f>SUM(M9:M52)</f>
        <v>939181.67000000016</v>
      </c>
      <c r="N53" s="98">
        <f>SUM(N9:N52)</f>
        <v>988167.6100000001</v>
      </c>
      <c r="O53" s="129">
        <f>N53/M53*100</f>
        <v>105.2158109090864</v>
      </c>
      <c r="P53" s="98">
        <f>SUM(P9:P52)</f>
        <v>1094470.6000000001</v>
      </c>
      <c r="Q53" s="129">
        <f>P53/N53*100</f>
        <v>110.75758696442195</v>
      </c>
      <c r="R53" s="98">
        <f t="shared" ref="R53:S53" si="5">SUM(R9:R52)</f>
        <v>1087079.3</v>
      </c>
      <c r="S53" s="98">
        <f t="shared" si="5"/>
        <v>1087019.2</v>
      </c>
    </row>
  </sheetData>
  <autoFilter ref="A8:S53"/>
  <mergeCells count="11">
    <mergeCell ref="A53:L53"/>
    <mergeCell ref="A1:S1"/>
    <mergeCell ref="A5:A7"/>
    <mergeCell ref="B5:B7"/>
    <mergeCell ref="C5:C7"/>
    <mergeCell ref="D5:L5"/>
    <mergeCell ref="M5:S5"/>
    <mergeCell ref="D6:D7"/>
    <mergeCell ref="E6:E7"/>
    <mergeCell ref="F6:L6"/>
    <mergeCell ref="M6:S6"/>
  </mergeCells>
  <pageMargins left="0.7" right="0.7" top="0.75" bottom="0.75" header="0.3" footer="0.3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90" zoomScaleNormal="90" workbookViewId="0">
      <pane ySplit="9" topLeftCell="A13" activePane="bottomLeft" state="frozen"/>
      <selection pane="bottomLeft" activeCell="B27" sqref="B27"/>
    </sheetView>
  </sheetViews>
  <sheetFormatPr defaultRowHeight="15"/>
  <cols>
    <col min="1" max="1" width="5.7109375" customWidth="1"/>
    <col min="2" max="2" width="69.140625" customWidth="1"/>
    <col min="3" max="3" width="36" customWidth="1"/>
    <col min="4" max="4" width="16.140625" customWidth="1"/>
    <col min="5" max="5" width="10.5703125" customWidth="1"/>
    <col min="6" max="6" width="9.140625" customWidth="1"/>
    <col min="7" max="7" width="13" customWidth="1"/>
    <col min="8" max="8" width="9.5703125" customWidth="1"/>
    <col min="9" max="9" width="9.28515625" customWidth="1"/>
    <col min="10" max="10" width="9.42578125" customWidth="1"/>
    <col min="11" max="11" width="9.5703125" customWidth="1"/>
    <col min="12" max="12" width="8.85546875" customWidth="1"/>
    <col min="13" max="13" width="11.42578125" customWidth="1"/>
    <col min="14" max="14" width="12.5703125" customWidth="1"/>
    <col min="15" max="15" width="9.85546875" customWidth="1"/>
    <col min="16" max="16" width="11.42578125" customWidth="1"/>
    <col min="17" max="17" width="10" customWidth="1"/>
    <col min="18" max="18" width="10.5703125" customWidth="1"/>
    <col min="19" max="19" width="11.140625" customWidth="1"/>
  </cols>
  <sheetData>
    <row r="1" spans="1:21" ht="15" customHeight="1"/>
    <row r="2" spans="1:21" ht="21.75" customHeight="1">
      <c r="A2" s="313" t="s">
        <v>639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21" ht="7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1" ht="24" customHeight="1">
      <c r="A4" s="180" t="s">
        <v>542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1" ht="17.25" customHeight="1" thickBot="1"/>
    <row r="6" spans="1:21" ht="37.5" customHeight="1">
      <c r="A6" s="315" t="s">
        <v>3</v>
      </c>
      <c r="B6" s="318" t="s">
        <v>4</v>
      </c>
      <c r="C6" s="321" t="s">
        <v>5</v>
      </c>
      <c r="D6" s="318" t="s">
        <v>543</v>
      </c>
      <c r="E6" s="318"/>
      <c r="F6" s="318"/>
      <c r="G6" s="318"/>
      <c r="H6" s="318"/>
      <c r="I6" s="318"/>
      <c r="J6" s="318"/>
      <c r="K6" s="318"/>
      <c r="L6" s="318"/>
      <c r="M6" s="324" t="s">
        <v>6</v>
      </c>
      <c r="N6" s="324"/>
      <c r="O6" s="324"/>
      <c r="P6" s="324"/>
      <c r="Q6" s="324"/>
      <c r="R6" s="324"/>
      <c r="S6" s="325"/>
    </row>
    <row r="7" spans="1:21" ht="19.5" customHeight="1">
      <c r="A7" s="316"/>
      <c r="B7" s="319"/>
      <c r="C7" s="322"/>
      <c r="D7" s="319" t="s">
        <v>7</v>
      </c>
      <c r="E7" s="319" t="s">
        <v>8</v>
      </c>
      <c r="F7" s="319" t="s">
        <v>9</v>
      </c>
      <c r="G7" s="319"/>
      <c r="H7" s="319"/>
      <c r="I7" s="319"/>
      <c r="J7" s="319"/>
      <c r="K7" s="319"/>
      <c r="L7" s="319"/>
      <c r="M7" s="319" t="s">
        <v>10</v>
      </c>
      <c r="N7" s="319"/>
      <c r="O7" s="319"/>
      <c r="P7" s="319"/>
      <c r="Q7" s="319"/>
      <c r="R7" s="319"/>
      <c r="S7" s="326"/>
      <c r="T7" s="2"/>
      <c r="U7" s="2"/>
    </row>
    <row r="8" spans="1:21" ht="78" customHeight="1" thickBot="1">
      <c r="A8" s="317"/>
      <c r="B8" s="320"/>
      <c r="C8" s="323"/>
      <c r="D8" s="320"/>
      <c r="E8" s="320"/>
      <c r="F8" s="173" t="s">
        <v>11</v>
      </c>
      <c r="G8" s="173" t="s">
        <v>12</v>
      </c>
      <c r="H8" s="174" t="s">
        <v>13</v>
      </c>
      <c r="I8" s="173" t="s">
        <v>14</v>
      </c>
      <c r="J8" s="174" t="s">
        <v>15</v>
      </c>
      <c r="K8" s="173" t="s">
        <v>16</v>
      </c>
      <c r="L8" s="173" t="s">
        <v>17</v>
      </c>
      <c r="M8" s="173" t="s">
        <v>11</v>
      </c>
      <c r="N8" s="173" t="s">
        <v>12</v>
      </c>
      <c r="O8" s="174" t="s">
        <v>13</v>
      </c>
      <c r="P8" s="173" t="s">
        <v>14</v>
      </c>
      <c r="Q8" s="174" t="s">
        <v>15</v>
      </c>
      <c r="R8" s="173" t="s">
        <v>16</v>
      </c>
      <c r="S8" s="175" t="s">
        <v>17</v>
      </c>
      <c r="T8" s="2"/>
      <c r="U8" s="2"/>
    </row>
    <row r="9" spans="1:21" ht="15.75" customHeight="1" thickBot="1">
      <c r="A9" s="181">
        <v>1</v>
      </c>
      <c r="B9" s="182" t="s">
        <v>18</v>
      </c>
      <c r="C9" s="182" t="s">
        <v>19</v>
      </c>
      <c r="D9" s="182" t="s">
        <v>20</v>
      </c>
      <c r="E9" s="182" t="s">
        <v>21</v>
      </c>
      <c r="F9" s="182" t="s">
        <v>22</v>
      </c>
      <c r="G9" s="182" t="s">
        <v>23</v>
      </c>
      <c r="H9" s="182" t="s">
        <v>24</v>
      </c>
      <c r="I9" s="182" t="s">
        <v>25</v>
      </c>
      <c r="J9" s="182" t="s">
        <v>26</v>
      </c>
      <c r="K9" s="182" t="s">
        <v>27</v>
      </c>
      <c r="L9" s="182" t="s">
        <v>28</v>
      </c>
      <c r="M9" s="182" t="s">
        <v>29</v>
      </c>
      <c r="N9" s="182" t="s">
        <v>30</v>
      </c>
      <c r="O9" s="182" t="s">
        <v>31</v>
      </c>
      <c r="P9" s="182" t="s">
        <v>32</v>
      </c>
      <c r="Q9" s="182" t="s">
        <v>33</v>
      </c>
      <c r="R9" s="182" t="s">
        <v>34</v>
      </c>
      <c r="S9" s="183" t="s">
        <v>35</v>
      </c>
      <c r="T9" s="2"/>
      <c r="U9" s="2"/>
    </row>
    <row r="10" spans="1:21" s="172" customFormat="1" ht="159" customHeight="1">
      <c r="A10" s="184">
        <v>1</v>
      </c>
      <c r="B10" s="185" t="s">
        <v>544</v>
      </c>
      <c r="C10" s="176" t="s">
        <v>538</v>
      </c>
      <c r="D10" s="176" t="s">
        <v>539</v>
      </c>
      <c r="E10" s="184" t="s">
        <v>182</v>
      </c>
      <c r="F10" s="186">
        <v>2783</v>
      </c>
      <c r="G10" s="187">
        <f>2392+354</f>
        <v>2746</v>
      </c>
      <c r="H10" s="188">
        <f>G10/F10*100</f>
        <v>98.670499461013293</v>
      </c>
      <c r="I10" s="189">
        <v>2935</v>
      </c>
      <c r="J10" s="188">
        <f>I10/G10*100</f>
        <v>106.88273852876912</v>
      </c>
      <c r="K10" s="189">
        <v>2935</v>
      </c>
      <c r="L10" s="189">
        <v>2935</v>
      </c>
      <c r="M10" s="190">
        <v>430206.18</v>
      </c>
      <c r="N10" s="191">
        <f>392987.44+22161+44928.13+3322.96+1613.61</f>
        <v>465013.14</v>
      </c>
      <c r="O10" s="188">
        <f>N10/M10*100</f>
        <v>108.09076243395668</v>
      </c>
      <c r="P10" s="192">
        <v>475899.41</v>
      </c>
      <c r="Q10" s="188">
        <f>P10/N10*100</f>
        <v>102.34106717930594</v>
      </c>
      <c r="R10" s="192">
        <v>428309.47</v>
      </c>
      <c r="S10" s="192">
        <v>428309.47</v>
      </c>
    </row>
    <row r="11" spans="1:21" s="172" customFormat="1" ht="153.75" customHeight="1">
      <c r="A11" s="178">
        <v>2</v>
      </c>
      <c r="B11" s="193" t="s">
        <v>545</v>
      </c>
      <c r="C11" s="176" t="s">
        <v>538</v>
      </c>
      <c r="D11" s="176" t="s">
        <v>539</v>
      </c>
      <c r="E11" s="184" t="s">
        <v>182</v>
      </c>
      <c r="F11" s="194">
        <v>102996</v>
      </c>
      <c r="G11" s="194">
        <f>103831-354</f>
        <v>103477</v>
      </c>
      <c r="H11" s="188">
        <f t="shared" ref="H11:H21" si="0">G11/F11*100</f>
        <v>100.46700842751176</v>
      </c>
      <c r="I11" s="195">
        <v>103277</v>
      </c>
      <c r="J11" s="188">
        <f t="shared" ref="J11:J21" si="1">I11/G11*100</f>
        <v>99.806720333987258</v>
      </c>
      <c r="K11" s="195">
        <v>103277</v>
      </c>
      <c r="L11" s="195">
        <v>103277</v>
      </c>
      <c r="M11" s="196">
        <v>292832.68</v>
      </c>
      <c r="N11" s="196">
        <f>336013.47+29849-44928.13</f>
        <v>320934.33999999997</v>
      </c>
      <c r="O11" s="188">
        <f t="shared" ref="O11:O21" si="2">N11/M11*100</f>
        <v>109.59649039171447</v>
      </c>
      <c r="P11" s="197">
        <v>331971.84000000003</v>
      </c>
      <c r="Q11" s="188">
        <f t="shared" ref="Q11:Q21" si="3">P11/N11*100</f>
        <v>103.4391769980115</v>
      </c>
      <c r="R11" s="197">
        <v>298775.06</v>
      </c>
      <c r="S11" s="197">
        <v>298775.06</v>
      </c>
    </row>
    <row r="12" spans="1:21" s="172" customFormat="1" ht="155.25" customHeight="1">
      <c r="A12" s="178">
        <v>3</v>
      </c>
      <c r="B12" s="193" t="s">
        <v>546</v>
      </c>
      <c r="C12" s="176" t="s">
        <v>538</v>
      </c>
      <c r="D12" s="176" t="s">
        <v>539</v>
      </c>
      <c r="E12" s="184" t="s">
        <v>182</v>
      </c>
      <c r="F12" s="194">
        <v>8606</v>
      </c>
      <c r="G12" s="195">
        <v>7405</v>
      </c>
      <c r="H12" s="188">
        <f t="shared" si="0"/>
        <v>86.044620032535434</v>
      </c>
      <c r="I12" s="195">
        <v>7405</v>
      </c>
      <c r="J12" s="188">
        <f t="shared" si="1"/>
        <v>100</v>
      </c>
      <c r="K12" s="195">
        <v>7405</v>
      </c>
      <c r="L12" s="195">
        <v>7405</v>
      </c>
      <c r="M12" s="198">
        <v>59185.74</v>
      </c>
      <c r="N12" s="196">
        <f>67544.26-9380.3</f>
        <v>58163.959999999992</v>
      </c>
      <c r="O12" s="188">
        <f t="shared" si="2"/>
        <v>98.273604418902252</v>
      </c>
      <c r="P12" s="197">
        <v>60164.32</v>
      </c>
      <c r="Q12" s="188">
        <f t="shared" si="3"/>
        <v>103.43917436158063</v>
      </c>
      <c r="R12" s="197">
        <v>54147.89</v>
      </c>
      <c r="S12" s="197">
        <v>54147.89</v>
      </c>
    </row>
    <row r="13" spans="1:21" s="172" customFormat="1" ht="41.25" customHeight="1">
      <c r="A13" s="203">
        <v>4</v>
      </c>
      <c r="B13" s="185" t="s">
        <v>540</v>
      </c>
      <c r="C13" s="204"/>
      <c r="D13" s="176"/>
      <c r="E13" s="184"/>
      <c r="F13" s="194"/>
      <c r="G13" s="195"/>
      <c r="H13" s="188"/>
      <c r="I13" s="195"/>
      <c r="J13" s="188"/>
      <c r="K13" s="195"/>
      <c r="L13" s="195"/>
      <c r="M13" s="198"/>
      <c r="N13" s="196"/>
      <c r="O13" s="188"/>
      <c r="P13" s="197"/>
      <c r="Q13" s="188"/>
      <c r="R13" s="197"/>
      <c r="S13" s="197"/>
    </row>
    <row r="14" spans="1:21" s="172" customFormat="1" ht="33" customHeight="1">
      <c r="A14" s="309"/>
      <c r="B14" s="205" t="s">
        <v>547</v>
      </c>
      <c r="C14" s="205" t="s">
        <v>547</v>
      </c>
      <c r="D14" s="177" t="s">
        <v>554</v>
      </c>
      <c r="E14" s="184" t="s">
        <v>182</v>
      </c>
      <c r="F14" s="195">
        <v>73</v>
      </c>
      <c r="G14" s="195">
        <v>40</v>
      </c>
      <c r="H14" s="188">
        <f t="shared" si="0"/>
        <v>54.794520547945204</v>
      </c>
      <c r="I14" s="195">
        <v>40</v>
      </c>
      <c r="J14" s="188">
        <f t="shared" si="1"/>
        <v>100</v>
      </c>
      <c r="K14" s="195">
        <v>40</v>
      </c>
      <c r="L14" s="195">
        <v>40</v>
      </c>
      <c r="M14" s="196">
        <v>1102.2</v>
      </c>
      <c r="N14" s="197">
        <v>1128.6500000000001</v>
      </c>
      <c r="O14" s="188">
        <f t="shared" si="2"/>
        <v>102.39974596262023</v>
      </c>
      <c r="P14" s="197">
        <v>1167.47</v>
      </c>
      <c r="Q14" s="188">
        <f t="shared" si="3"/>
        <v>103.43950737606875</v>
      </c>
      <c r="R14" s="197">
        <v>1050.72</v>
      </c>
      <c r="S14" s="197">
        <v>1050.72</v>
      </c>
    </row>
    <row r="15" spans="1:21" s="172" customFormat="1" ht="33.75" customHeight="1">
      <c r="A15" s="310"/>
      <c r="B15" s="205" t="s">
        <v>548</v>
      </c>
      <c r="C15" s="205" t="s">
        <v>548</v>
      </c>
      <c r="D15" s="177" t="s">
        <v>554</v>
      </c>
      <c r="E15" s="184" t="s">
        <v>182</v>
      </c>
      <c r="F15" s="195">
        <v>34</v>
      </c>
      <c r="G15" s="195">
        <v>50</v>
      </c>
      <c r="H15" s="188">
        <f t="shared" si="0"/>
        <v>147.05882352941177</v>
      </c>
      <c r="I15" s="195">
        <v>50</v>
      </c>
      <c r="J15" s="188">
        <f t="shared" si="1"/>
        <v>100</v>
      </c>
      <c r="K15" s="195">
        <v>50</v>
      </c>
      <c r="L15" s="195">
        <v>50</v>
      </c>
      <c r="M15" s="196">
        <v>388.2</v>
      </c>
      <c r="N15" s="197">
        <v>397.52</v>
      </c>
      <c r="O15" s="188">
        <f t="shared" si="2"/>
        <v>102.40082431736219</v>
      </c>
      <c r="P15" s="197">
        <v>411.19</v>
      </c>
      <c r="Q15" s="188">
        <f t="shared" si="3"/>
        <v>103.43882068826727</v>
      </c>
      <c r="R15" s="197">
        <v>370.07</v>
      </c>
      <c r="S15" s="197">
        <v>370.07</v>
      </c>
    </row>
    <row r="16" spans="1:21" s="172" customFormat="1" ht="35.25" customHeight="1">
      <c r="A16" s="310"/>
      <c r="B16" s="205" t="s">
        <v>549</v>
      </c>
      <c r="C16" s="205" t="s">
        <v>549</v>
      </c>
      <c r="D16" s="177" t="s">
        <v>554</v>
      </c>
      <c r="E16" s="184" t="s">
        <v>182</v>
      </c>
      <c r="F16" s="195">
        <v>43</v>
      </c>
      <c r="G16" s="195">
        <v>60</v>
      </c>
      <c r="H16" s="188">
        <f t="shared" si="0"/>
        <v>139.53488372093022</v>
      </c>
      <c r="I16" s="195">
        <v>60</v>
      </c>
      <c r="J16" s="188">
        <f t="shared" si="1"/>
        <v>100</v>
      </c>
      <c r="K16" s="195">
        <v>60</v>
      </c>
      <c r="L16" s="195">
        <v>60</v>
      </c>
      <c r="M16" s="196">
        <v>388.2</v>
      </c>
      <c r="N16" s="197">
        <v>397.52</v>
      </c>
      <c r="O16" s="188">
        <f t="shared" si="2"/>
        <v>102.40082431736219</v>
      </c>
      <c r="P16" s="197">
        <v>411.19</v>
      </c>
      <c r="Q16" s="188">
        <f t="shared" si="3"/>
        <v>103.43882068826727</v>
      </c>
      <c r="R16" s="197">
        <v>370.07</v>
      </c>
      <c r="S16" s="197">
        <v>370.07</v>
      </c>
    </row>
    <row r="17" spans="1:19" s="172" customFormat="1" ht="32.25" customHeight="1">
      <c r="A17" s="310"/>
      <c r="B17" s="205" t="s">
        <v>550</v>
      </c>
      <c r="C17" s="205" t="s">
        <v>550</v>
      </c>
      <c r="D17" s="177" t="s">
        <v>555</v>
      </c>
      <c r="E17" s="184" t="s">
        <v>182</v>
      </c>
      <c r="F17" s="195">
        <v>23</v>
      </c>
      <c r="G17" s="195">
        <v>20</v>
      </c>
      <c r="H17" s="188">
        <f t="shared" si="0"/>
        <v>86.956521739130437</v>
      </c>
      <c r="I17" s="195">
        <v>20</v>
      </c>
      <c r="J17" s="188">
        <f t="shared" si="1"/>
        <v>100</v>
      </c>
      <c r="K17" s="195">
        <v>20</v>
      </c>
      <c r="L17" s="195">
        <v>20</v>
      </c>
      <c r="M17" s="196">
        <v>522.5</v>
      </c>
      <c r="N17" s="197">
        <v>535.04</v>
      </c>
      <c r="O17" s="188">
        <f t="shared" si="2"/>
        <v>102.4</v>
      </c>
      <c r="P17" s="197">
        <v>553.44000000000005</v>
      </c>
      <c r="Q17" s="188">
        <f t="shared" si="3"/>
        <v>103.43899521531101</v>
      </c>
      <c r="R17" s="197">
        <v>498.1</v>
      </c>
      <c r="S17" s="197">
        <v>498.1</v>
      </c>
    </row>
    <row r="18" spans="1:19" s="172" customFormat="1" ht="32.25" customHeight="1">
      <c r="A18" s="310"/>
      <c r="B18" s="205" t="s">
        <v>551</v>
      </c>
      <c r="C18" s="205" t="s">
        <v>551</v>
      </c>
      <c r="D18" s="177" t="s">
        <v>554</v>
      </c>
      <c r="E18" s="184" t="s">
        <v>182</v>
      </c>
      <c r="F18" s="195">
        <v>7</v>
      </c>
      <c r="G18" s="195">
        <v>5</v>
      </c>
      <c r="H18" s="188">
        <f t="shared" si="0"/>
        <v>71.428571428571431</v>
      </c>
      <c r="I18" s="195">
        <v>5</v>
      </c>
      <c r="J18" s="188">
        <f t="shared" si="1"/>
        <v>100</v>
      </c>
      <c r="K18" s="195">
        <v>5</v>
      </c>
      <c r="L18" s="195">
        <v>5</v>
      </c>
      <c r="M18" s="196">
        <v>184.4</v>
      </c>
      <c r="N18" s="197">
        <v>188.83</v>
      </c>
      <c r="O18" s="188">
        <f t="shared" si="2"/>
        <v>102.40238611713666</v>
      </c>
      <c r="P18" s="197">
        <v>195.32</v>
      </c>
      <c r="Q18" s="188">
        <f t="shared" si="3"/>
        <v>103.43695387385479</v>
      </c>
      <c r="R18" s="197">
        <v>175.4</v>
      </c>
      <c r="S18" s="197">
        <v>175.4</v>
      </c>
    </row>
    <row r="19" spans="1:19" s="172" customFormat="1" ht="31.5" customHeight="1">
      <c r="A19" s="310"/>
      <c r="B19" s="205" t="s">
        <v>552</v>
      </c>
      <c r="C19" s="205" t="s">
        <v>552</v>
      </c>
      <c r="D19" s="177" t="s">
        <v>554</v>
      </c>
      <c r="E19" s="184" t="s">
        <v>182</v>
      </c>
      <c r="F19" s="195">
        <v>17</v>
      </c>
      <c r="G19" s="195">
        <v>20</v>
      </c>
      <c r="H19" s="188">
        <f t="shared" si="0"/>
        <v>117.64705882352942</v>
      </c>
      <c r="I19" s="195">
        <v>20</v>
      </c>
      <c r="J19" s="188">
        <f t="shared" si="1"/>
        <v>100</v>
      </c>
      <c r="K19" s="195">
        <v>20</v>
      </c>
      <c r="L19" s="195">
        <v>20</v>
      </c>
      <c r="M19" s="196">
        <v>875.4</v>
      </c>
      <c r="N19" s="197">
        <v>896.41</v>
      </c>
      <c r="O19" s="188">
        <f t="shared" si="2"/>
        <v>102.40004569339732</v>
      </c>
      <c r="P19" s="197">
        <v>927.24</v>
      </c>
      <c r="Q19" s="188">
        <f t="shared" si="3"/>
        <v>103.43927443915173</v>
      </c>
      <c r="R19" s="197">
        <v>834.51</v>
      </c>
      <c r="S19" s="197">
        <v>834.51</v>
      </c>
    </row>
    <row r="20" spans="1:19" s="172" customFormat="1" ht="36" customHeight="1">
      <c r="A20" s="311"/>
      <c r="B20" s="205" t="s">
        <v>553</v>
      </c>
      <c r="C20" s="205" t="s">
        <v>553</v>
      </c>
      <c r="D20" s="177" t="s">
        <v>556</v>
      </c>
      <c r="E20" s="184" t="s">
        <v>182</v>
      </c>
      <c r="F20" s="195">
        <v>15</v>
      </c>
      <c r="G20" s="195">
        <v>15</v>
      </c>
      <c r="H20" s="188">
        <f t="shared" si="0"/>
        <v>100</v>
      </c>
      <c r="I20" s="195">
        <v>15</v>
      </c>
      <c r="J20" s="188">
        <f t="shared" si="1"/>
        <v>100</v>
      </c>
      <c r="K20" s="195">
        <v>15</v>
      </c>
      <c r="L20" s="195">
        <v>15</v>
      </c>
      <c r="M20" s="196">
        <v>272.2</v>
      </c>
      <c r="N20" s="197">
        <v>278.73</v>
      </c>
      <c r="O20" s="188">
        <f t="shared" si="2"/>
        <v>102.39897134459956</v>
      </c>
      <c r="P20" s="197">
        <v>288.32</v>
      </c>
      <c r="Q20" s="188">
        <f t="shared" si="3"/>
        <v>103.44060560398951</v>
      </c>
      <c r="R20" s="197">
        <v>259.48</v>
      </c>
      <c r="S20" s="197">
        <v>259.48</v>
      </c>
    </row>
    <row r="21" spans="1:19" s="172" customFormat="1" ht="44.25" customHeight="1">
      <c r="A21" s="178">
        <v>5</v>
      </c>
      <c r="B21" s="193" t="s">
        <v>640</v>
      </c>
      <c r="C21" s="178"/>
      <c r="D21" s="178"/>
      <c r="E21" s="178" t="s">
        <v>541</v>
      </c>
      <c r="F21" s="195">
        <v>37883</v>
      </c>
      <c r="G21" s="194">
        <f>16898+16180</f>
        <v>33078</v>
      </c>
      <c r="H21" s="188">
        <f t="shared" si="0"/>
        <v>87.316210437399363</v>
      </c>
      <c r="I21" s="195">
        <f>13518+18450</f>
        <v>31968</v>
      </c>
      <c r="J21" s="188">
        <f t="shared" si="1"/>
        <v>96.644295302013433</v>
      </c>
      <c r="K21" s="195">
        <v>31968</v>
      </c>
      <c r="L21" s="195">
        <v>31968</v>
      </c>
      <c r="M21" s="198">
        <v>42635.75</v>
      </c>
      <c r="N21" s="197">
        <f>37383.76+621</f>
        <v>38004.76</v>
      </c>
      <c r="O21" s="188">
        <f t="shared" si="2"/>
        <v>89.13824665920032</v>
      </c>
      <c r="P21" s="197">
        <v>40907.86</v>
      </c>
      <c r="Q21" s="188">
        <f t="shared" si="3"/>
        <v>107.63877998440195</v>
      </c>
      <c r="R21" s="197">
        <v>36817.07</v>
      </c>
      <c r="S21" s="197">
        <v>36817.07</v>
      </c>
    </row>
    <row r="22" spans="1:19" s="172" customFormat="1" ht="15.75" hidden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99"/>
      <c r="N22" s="199"/>
      <c r="O22" s="179"/>
      <c r="P22" s="199"/>
      <c r="Q22" s="200"/>
      <c r="R22" s="199"/>
      <c r="S22" s="199"/>
    </row>
    <row r="23" spans="1:19" s="172" customFormat="1" ht="15.75" hidden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99"/>
      <c r="N23" s="199"/>
      <c r="O23" s="179"/>
      <c r="P23" s="199"/>
      <c r="Q23" s="200"/>
      <c r="R23" s="199"/>
      <c r="S23" s="199"/>
    </row>
    <row r="24" spans="1:19" s="172" customFormat="1" ht="15.75" hidden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99"/>
      <c r="N24" s="199"/>
      <c r="O24" s="179"/>
      <c r="P24" s="199"/>
      <c r="Q24" s="200"/>
      <c r="R24" s="199"/>
      <c r="S24" s="199"/>
    </row>
    <row r="25" spans="1:19" ht="23.25" customHeight="1">
      <c r="A25" s="312" t="s">
        <v>263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201">
        <f>SUM(M10:M24)</f>
        <v>828593.44999999984</v>
      </c>
      <c r="N25" s="201">
        <f t="shared" ref="N25:S25" si="4">SUM(N10:N24)</f>
        <v>885938.9</v>
      </c>
      <c r="O25" s="206">
        <f>N25/M25*100</f>
        <v>106.92081864755269</v>
      </c>
      <c r="P25" s="201">
        <f t="shared" si="4"/>
        <v>912897.59999999963</v>
      </c>
      <c r="Q25" s="202">
        <f>P25/N25*100</f>
        <v>103.04295251060762</v>
      </c>
      <c r="R25" s="201">
        <f t="shared" si="4"/>
        <v>821607.83999999985</v>
      </c>
      <c r="S25" s="201">
        <f t="shared" si="4"/>
        <v>821607.83999999985</v>
      </c>
    </row>
  </sheetData>
  <mergeCells count="12">
    <mergeCell ref="A14:A20"/>
    <mergeCell ref="A25:L25"/>
    <mergeCell ref="A2:S2"/>
    <mergeCell ref="A6:A8"/>
    <mergeCell ref="B6:B8"/>
    <mergeCell ref="C6:C8"/>
    <mergeCell ref="D6:L6"/>
    <mergeCell ref="M6:S6"/>
    <mergeCell ref="D7:D8"/>
    <mergeCell ref="E7:E8"/>
    <mergeCell ref="F7:L7"/>
    <mergeCell ref="M7:S7"/>
  </mergeCells>
  <pageMargins left="0.11811023622047245" right="0.11811023622047245" top="0.55118110236220474" bottom="0.55118110236220474" header="0.31496062992125984" footer="0.31496062992125984"/>
  <pageSetup paperSize="9" scale="4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SheetLayoutView="80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P58" sqref="P58"/>
    </sheetView>
  </sheetViews>
  <sheetFormatPr defaultRowHeight="15"/>
  <cols>
    <col min="1" max="1" width="5.7109375" style="144" customWidth="1"/>
    <col min="2" max="2" width="24.140625" style="144" customWidth="1"/>
    <col min="3" max="3" width="20.7109375" style="144" customWidth="1"/>
    <col min="4" max="4" width="16.7109375" style="145" customWidth="1"/>
    <col min="5" max="5" width="12.5703125" style="146" customWidth="1"/>
    <col min="6" max="7" width="12.85546875" customWidth="1"/>
    <col min="8" max="8" width="10.28515625" customWidth="1"/>
    <col min="9" max="9" width="12.85546875" customWidth="1"/>
    <col min="10" max="10" width="10.28515625" customWidth="1"/>
    <col min="11" max="12" width="12.85546875" customWidth="1"/>
    <col min="13" max="14" width="13.85546875" customWidth="1"/>
    <col min="15" max="15" width="9.5703125" customWidth="1"/>
    <col min="16" max="16" width="13.85546875" customWidth="1"/>
    <col min="17" max="17" width="9.5703125" customWidth="1"/>
    <col min="18" max="19" width="13.85546875" customWidth="1"/>
    <col min="20" max="20" width="16" customWidth="1"/>
  </cols>
  <sheetData>
    <row r="1" spans="1:19" ht="11.25" customHeight="1"/>
    <row r="2" spans="1:19" ht="18.75" customHeight="1">
      <c r="A2" s="288" t="s">
        <v>639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9.75" customHeight="1">
      <c r="A3" s="147"/>
      <c r="B3" s="147"/>
      <c r="C3" s="147"/>
      <c r="D3" s="147"/>
      <c r="E3" s="14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51" t="s">
        <v>537</v>
      </c>
      <c r="B4" s="147"/>
      <c r="C4" s="147"/>
      <c r="D4" s="147"/>
      <c r="E4" s="14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customHeight="1"/>
    <row r="6" spans="1:19" ht="48" customHeight="1">
      <c r="A6" s="332" t="s">
        <v>3</v>
      </c>
      <c r="B6" s="332" t="s">
        <v>441</v>
      </c>
      <c r="C6" s="289" t="s">
        <v>5</v>
      </c>
      <c r="D6" s="289" t="s">
        <v>180</v>
      </c>
      <c r="E6" s="289"/>
      <c r="F6" s="289"/>
      <c r="G6" s="289"/>
      <c r="H6" s="289"/>
      <c r="I6" s="289"/>
      <c r="J6" s="289"/>
      <c r="K6" s="289"/>
      <c r="L6" s="289"/>
      <c r="M6" s="283" t="s">
        <v>6</v>
      </c>
      <c r="N6" s="283"/>
      <c r="O6" s="283"/>
      <c r="P6" s="283"/>
      <c r="Q6" s="283"/>
      <c r="R6" s="283"/>
      <c r="S6" s="283"/>
    </row>
    <row r="7" spans="1:19" ht="19.5" customHeight="1">
      <c r="A7" s="332"/>
      <c r="B7" s="332"/>
      <c r="C7" s="289"/>
      <c r="D7" s="332" t="s">
        <v>442</v>
      </c>
      <c r="E7" s="332" t="s">
        <v>8</v>
      </c>
      <c r="F7" s="289" t="s">
        <v>443</v>
      </c>
      <c r="G7" s="289" t="s">
        <v>444</v>
      </c>
      <c r="H7" s="331" t="s">
        <v>13</v>
      </c>
      <c r="I7" s="289" t="s">
        <v>445</v>
      </c>
      <c r="J7" s="331" t="s">
        <v>15</v>
      </c>
      <c r="K7" s="289" t="s">
        <v>446</v>
      </c>
      <c r="L7" s="289" t="s">
        <v>447</v>
      </c>
      <c r="M7" s="289" t="s">
        <v>10</v>
      </c>
      <c r="N7" s="289"/>
      <c r="O7" s="289"/>
      <c r="P7" s="289"/>
      <c r="Q7" s="289"/>
      <c r="R7" s="289"/>
      <c r="S7" s="289"/>
    </row>
    <row r="8" spans="1:19" ht="90" customHeight="1">
      <c r="A8" s="332"/>
      <c r="B8" s="332"/>
      <c r="C8" s="289"/>
      <c r="D8" s="332"/>
      <c r="E8" s="332"/>
      <c r="F8" s="289"/>
      <c r="G8" s="289"/>
      <c r="H8" s="331"/>
      <c r="I8" s="289"/>
      <c r="J8" s="331"/>
      <c r="K8" s="289"/>
      <c r="L8" s="289"/>
      <c r="M8" s="17" t="s">
        <v>443</v>
      </c>
      <c r="N8" s="17" t="s">
        <v>444</v>
      </c>
      <c r="O8" s="164" t="s">
        <v>13</v>
      </c>
      <c r="P8" s="17" t="s">
        <v>448</v>
      </c>
      <c r="Q8" s="164" t="s">
        <v>15</v>
      </c>
      <c r="R8" s="17" t="s">
        <v>449</v>
      </c>
      <c r="S8" s="17" t="s">
        <v>450</v>
      </c>
    </row>
    <row r="9" spans="1:19" ht="16.5" customHeight="1">
      <c r="A9" s="165">
        <v>1</v>
      </c>
      <c r="B9" s="166" t="s">
        <v>18</v>
      </c>
      <c r="C9" s="166" t="s">
        <v>19</v>
      </c>
      <c r="D9" s="166" t="s">
        <v>20</v>
      </c>
      <c r="E9" s="166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17" t="s">
        <v>30</v>
      </c>
      <c r="O9" s="17" t="s">
        <v>31</v>
      </c>
      <c r="P9" s="17" t="s">
        <v>32</v>
      </c>
      <c r="Q9" s="17" t="s">
        <v>33</v>
      </c>
      <c r="R9" s="17" t="s">
        <v>34</v>
      </c>
      <c r="S9" s="17" t="s">
        <v>35</v>
      </c>
    </row>
    <row r="10" spans="1:19" s="149" customFormat="1" ht="27.75" customHeight="1">
      <c r="A10" s="329">
        <v>1</v>
      </c>
      <c r="B10" s="330" t="s">
        <v>451</v>
      </c>
      <c r="C10" s="330" t="s">
        <v>452</v>
      </c>
      <c r="D10" s="152" t="s">
        <v>453</v>
      </c>
      <c r="E10" s="152" t="s">
        <v>182</v>
      </c>
      <c r="F10" s="158">
        <v>210468</v>
      </c>
      <c r="G10" s="158">
        <v>283200</v>
      </c>
      <c r="H10" s="159">
        <f>G10/F10*100</f>
        <v>134.55727236444494</v>
      </c>
      <c r="I10" s="158">
        <v>283200</v>
      </c>
      <c r="J10" s="159">
        <f>I10/G10*100</f>
        <v>100</v>
      </c>
      <c r="K10" s="158">
        <v>283200</v>
      </c>
      <c r="L10" s="158">
        <v>283200</v>
      </c>
      <c r="M10" s="327">
        <v>156002</v>
      </c>
      <c r="N10" s="327">
        <f>152487.009+55922.3</f>
        <v>208409.30900000001</v>
      </c>
      <c r="O10" s="327">
        <f>N10/M10*100</f>
        <v>133.59399815386982</v>
      </c>
      <c r="P10" s="327">
        <v>175061.992</v>
      </c>
      <c r="Q10" s="327">
        <f>P10/N10*100</f>
        <v>83.999123090993976</v>
      </c>
      <c r="R10" s="327">
        <v>157555.79199999999</v>
      </c>
      <c r="S10" s="327">
        <v>157555.79199999999</v>
      </c>
    </row>
    <row r="11" spans="1:19" s="149" customFormat="1" ht="45">
      <c r="A11" s="329"/>
      <c r="B11" s="330"/>
      <c r="C11" s="330"/>
      <c r="D11" s="152" t="s">
        <v>454</v>
      </c>
      <c r="E11" s="152" t="s">
        <v>214</v>
      </c>
      <c r="F11" s="158">
        <v>1392</v>
      </c>
      <c r="G11" s="158">
        <v>1242</v>
      </c>
      <c r="H11" s="159">
        <f t="shared" ref="H11:H57" si="0">G11/F11*100</f>
        <v>89.224137931034491</v>
      </c>
      <c r="I11" s="158">
        <v>1242</v>
      </c>
      <c r="J11" s="159">
        <f t="shared" ref="J11:J57" si="1">I11/G11*100</f>
        <v>100</v>
      </c>
      <c r="K11" s="158">
        <v>1242</v>
      </c>
      <c r="L11" s="158">
        <v>1242</v>
      </c>
      <c r="M11" s="327"/>
      <c r="N11" s="327"/>
      <c r="O11" s="327"/>
      <c r="P11" s="327"/>
      <c r="Q11" s="327"/>
      <c r="R11" s="327"/>
      <c r="S11" s="327"/>
    </row>
    <row r="12" spans="1:19" s="149" customFormat="1" ht="78" customHeight="1">
      <c r="A12" s="153">
        <v>2</v>
      </c>
      <c r="B12" s="154" t="s">
        <v>455</v>
      </c>
      <c r="C12" s="154" t="s">
        <v>456</v>
      </c>
      <c r="D12" s="152" t="s">
        <v>457</v>
      </c>
      <c r="E12" s="152" t="s">
        <v>214</v>
      </c>
      <c r="F12" s="160">
        <v>21</v>
      </c>
      <c r="G12" s="160">
        <v>21</v>
      </c>
      <c r="H12" s="159">
        <f t="shared" si="0"/>
        <v>100</v>
      </c>
      <c r="I12" s="160">
        <v>21</v>
      </c>
      <c r="J12" s="159">
        <f t="shared" si="1"/>
        <v>100</v>
      </c>
      <c r="K12" s="160">
        <v>21</v>
      </c>
      <c r="L12" s="160">
        <v>21</v>
      </c>
      <c r="M12" s="162">
        <v>226186.7</v>
      </c>
      <c r="N12" s="162">
        <v>243098.891</v>
      </c>
      <c r="O12" s="162">
        <f>N12/M12*100</f>
        <v>107.47709348073957</v>
      </c>
      <c r="P12" s="162">
        <v>288955.21000000002</v>
      </c>
      <c r="Q12" s="162">
        <f t="shared" ref="Q12:Q16" si="2">P12/N12*100</f>
        <v>118.86323660768984</v>
      </c>
      <c r="R12" s="162">
        <v>260114.14</v>
      </c>
      <c r="S12" s="162">
        <v>260114.14</v>
      </c>
    </row>
    <row r="13" spans="1:19" s="149" customFormat="1" ht="22.5" customHeight="1">
      <c r="A13" s="329">
        <v>3</v>
      </c>
      <c r="B13" s="330" t="s">
        <v>458</v>
      </c>
      <c r="C13" s="330" t="s">
        <v>452</v>
      </c>
      <c r="D13" s="152" t="s">
        <v>453</v>
      </c>
      <c r="E13" s="152" t="s">
        <v>182</v>
      </c>
      <c r="F13" s="158">
        <v>43100</v>
      </c>
      <c r="G13" s="158">
        <v>42400</v>
      </c>
      <c r="H13" s="159">
        <f t="shared" si="0"/>
        <v>98.375870069605568</v>
      </c>
      <c r="I13" s="158">
        <v>42400</v>
      </c>
      <c r="J13" s="159">
        <f t="shared" si="1"/>
        <v>100</v>
      </c>
      <c r="K13" s="158">
        <v>42400</v>
      </c>
      <c r="L13" s="158">
        <v>42400</v>
      </c>
      <c r="M13" s="327">
        <v>18263.464</v>
      </c>
      <c r="N13" s="327">
        <v>9368.33</v>
      </c>
      <c r="O13" s="327">
        <f t="shared" ref="O13:O17" si="3">N13/M13*100</f>
        <v>51.295471658607596</v>
      </c>
      <c r="P13" s="327">
        <v>10941.4</v>
      </c>
      <c r="Q13" s="327">
        <f t="shared" si="2"/>
        <v>116.79135982613764</v>
      </c>
      <c r="R13" s="327">
        <v>9847.2369999999992</v>
      </c>
      <c r="S13" s="327">
        <v>9847.2369999999992</v>
      </c>
    </row>
    <row r="14" spans="1:19" s="149" customFormat="1" ht="45">
      <c r="A14" s="329"/>
      <c r="B14" s="330"/>
      <c r="C14" s="330"/>
      <c r="D14" s="152" t="s">
        <v>454</v>
      </c>
      <c r="E14" s="152" t="s">
        <v>214</v>
      </c>
      <c r="F14" s="160">
        <v>129</v>
      </c>
      <c r="G14" s="160">
        <v>157</v>
      </c>
      <c r="H14" s="159">
        <f t="shared" si="0"/>
        <v>121.70542635658914</v>
      </c>
      <c r="I14" s="160">
        <v>157</v>
      </c>
      <c r="J14" s="159">
        <f t="shared" si="1"/>
        <v>100</v>
      </c>
      <c r="K14" s="160">
        <v>157</v>
      </c>
      <c r="L14" s="160">
        <v>157</v>
      </c>
      <c r="M14" s="327"/>
      <c r="N14" s="327"/>
      <c r="O14" s="327" t="e">
        <f t="shared" si="3"/>
        <v>#DIV/0!</v>
      </c>
      <c r="P14" s="327"/>
      <c r="Q14" s="327" t="e">
        <f t="shared" si="2"/>
        <v>#DIV/0!</v>
      </c>
      <c r="R14" s="327"/>
      <c r="S14" s="327"/>
    </row>
    <row r="15" spans="1:19" s="149" customFormat="1" ht="75">
      <c r="A15" s="153">
        <v>4</v>
      </c>
      <c r="B15" s="154" t="s">
        <v>459</v>
      </c>
      <c r="C15" s="154" t="s">
        <v>456</v>
      </c>
      <c r="D15" s="152" t="s">
        <v>457</v>
      </c>
      <c r="E15" s="152" t="s">
        <v>214</v>
      </c>
      <c r="F15" s="160">
        <v>1</v>
      </c>
      <c r="G15" s="160">
        <v>1</v>
      </c>
      <c r="H15" s="159">
        <f t="shared" si="0"/>
        <v>100</v>
      </c>
      <c r="I15" s="160">
        <v>1</v>
      </c>
      <c r="J15" s="159">
        <f t="shared" si="1"/>
        <v>100</v>
      </c>
      <c r="K15" s="160">
        <v>1</v>
      </c>
      <c r="L15" s="160">
        <v>1</v>
      </c>
      <c r="M15" s="162">
        <v>34485.076000000001</v>
      </c>
      <c r="N15" s="162">
        <v>30021.07</v>
      </c>
      <c r="O15" s="162">
        <f t="shared" si="3"/>
        <v>87.055252538808375</v>
      </c>
      <c r="P15" s="162">
        <v>34156</v>
      </c>
      <c r="Q15" s="162">
        <f t="shared" si="2"/>
        <v>113.77342646348048</v>
      </c>
      <c r="R15" s="162">
        <v>30740.400000000001</v>
      </c>
      <c r="S15" s="162">
        <v>30740.400000000001</v>
      </c>
    </row>
    <row r="16" spans="1:19" s="149" customFormat="1" ht="32.25" customHeight="1">
      <c r="A16" s="329">
        <v>5</v>
      </c>
      <c r="B16" s="330" t="s">
        <v>460</v>
      </c>
      <c r="C16" s="330" t="s">
        <v>461</v>
      </c>
      <c r="D16" s="152" t="s">
        <v>462</v>
      </c>
      <c r="E16" s="152" t="s">
        <v>182</v>
      </c>
      <c r="F16" s="158">
        <v>340449</v>
      </c>
      <c r="G16" s="158">
        <v>303000</v>
      </c>
      <c r="H16" s="159">
        <f t="shared" si="0"/>
        <v>89.000114554602888</v>
      </c>
      <c r="I16" s="158">
        <v>328000</v>
      </c>
      <c r="J16" s="159">
        <f t="shared" si="1"/>
        <v>108.25082508250826</v>
      </c>
      <c r="K16" s="158">
        <v>328000</v>
      </c>
      <c r="L16" s="158">
        <v>328000</v>
      </c>
      <c r="M16" s="327">
        <v>10881.210999999999</v>
      </c>
      <c r="N16" s="327">
        <f>13596.75+4200</f>
        <v>17796.75</v>
      </c>
      <c r="O16" s="327">
        <f t="shared" si="3"/>
        <v>163.55486535460071</v>
      </c>
      <c r="P16" s="327">
        <v>16876.056</v>
      </c>
      <c r="Q16" s="327">
        <f t="shared" si="2"/>
        <v>94.826617219436145</v>
      </c>
      <c r="R16" s="327">
        <v>15188.45</v>
      </c>
      <c r="S16" s="327">
        <v>15188.45</v>
      </c>
    </row>
    <row r="17" spans="1:19" s="149" customFormat="1" ht="30">
      <c r="A17" s="329"/>
      <c r="B17" s="330"/>
      <c r="C17" s="330"/>
      <c r="D17" s="152" t="s">
        <v>463</v>
      </c>
      <c r="E17" s="152" t="s">
        <v>214</v>
      </c>
      <c r="F17" s="160">
        <v>177</v>
      </c>
      <c r="G17" s="160">
        <v>145</v>
      </c>
      <c r="H17" s="159">
        <f t="shared" si="0"/>
        <v>81.920903954802256</v>
      </c>
      <c r="I17" s="160">
        <v>145</v>
      </c>
      <c r="J17" s="159">
        <f t="shared" si="1"/>
        <v>100</v>
      </c>
      <c r="K17" s="160">
        <v>145</v>
      </c>
      <c r="L17" s="160">
        <v>145</v>
      </c>
      <c r="M17" s="327"/>
      <c r="N17" s="327"/>
      <c r="O17" s="327" t="e">
        <f t="shared" si="3"/>
        <v>#DIV/0!</v>
      </c>
      <c r="P17" s="327"/>
      <c r="Q17" s="327"/>
      <c r="R17" s="327">
        <f t="shared" ref="R17:S20" si="4">P17*0.9</f>
        <v>0</v>
      </c>
      <c r="S17" s="327">
        <f t="shared" si="4"/>
        <v>0</v>
      </c>
    </row>
    <row r="18" spans="1:19" s="149" customFormat="1" ht="90">
      <c r="A18" s="153">
        <v>6</v>
      </c>
      <c r="B18" s="154" t="s">
        <v>464</v>
      </c>
      <c r="C18" s="154" t="s">
        <v>465</v>
      </c>
      <c r="D18" s="152" t="s">
        <v>466</v>
      </c>
      <c r="E18" s="152" t="s">
        <v>214</v>
      </c>
      <c r="F18" s="158">
        <v>245564</v>
      </c>
      <c r="G18" s="158">
        <v>246231</v>
      </c>
      <c r="H18" s="159">
        <f t="shared" si="0"/>
        <v>100.27161961851085</v>
      </c>
      <c r="I18" s="158">
        <v>246231</v>
      </c>
      <c r="J18" s="159">
        <f t="shared" si="1"/>
        <v>100</v>
      </c>
      <c r="K18" s="158">
        <v>246231</v>
      </c>
      <c r="L18" s="158">
        <v>246231</v>
      </c>
      <c r="M18" s="162">
        <v>19075.522000000001</v>
      </c>
      <c r="N18" s="162">
        <v>19427.079000000002</v>
      </c>
      <c r="O18" s="162">
        <f>N18/M18*100</f>
        <v>101.84297446748771</v>
      </c>
      <c r="P18" s="162">
        <v>24112.561000000002</v>
      </c>
      <c r="Q18" s="162">
        <f>P18/N18*100</f>
        <v>124.11830414649572</v>
      </c>
      <c r="R18" s="162">
        <v>21701.3</v>
      </c>
      <c r="S18" s="162">
        <v>21701.3</v>
      </c>
    </row>
    <row r="19" spans="1:19" s="149" customFormat="1" ht="21" customHeight="1">
      <c r="A19" s="329">
        <v>7</v>
      </c>
      <c r="B19" s="330" t="s">
        <v>467</v>
      </c>
      <c r="C19" s="330" t="s">
        <v>468</v>
      </c>
      <c r="D19" s="152" t="s">
        <v>469</v>
      </c>
      <c r="E19" s="152" t="s">
        <v>214</v>
      </c>
      <c r="F19" s="158">
        <v>7249</v>
      </c>
      <c r="G19" s="158">
        <v>5300</v>
      </c>
      <c r="H19" s="159">
        <f t="shared" si="0"/>
        <v>73.113532901089812</v>
      </c>
      <c r="I19" s="158">
        <v>5300</v>
      </c>
      <c r="J19" s="159">
        <f t="shared" si="1"/>
        <v>100</v>
      </c>
      <c r="K19" s="158">
        <v>5300</v>
      </c>
      <c r="L19" s="158">
        <v>5300</v>
      </c>
      <c r="M19" s="327">
        <v>59376.300659999994</v>
      </c>
      <c r="N19" s="327">
        <v>57608.83</v>
      </c>
      <c r="O19" s="327">
        <f t="shared" ref="O19:O21" si="5">N19/M19*100</f>
        <v>97.023272517227255</v>
      </c>
      <c r="P19" s="327">
        <v>59423.040999999997</v>
      </c>
      <c r="Q19" s="327">
        <f t="shared" ref="Q19:Q21" si="6">P19/N19*100</f>
        <v>103.14918910868352</v>
      </c>
      <c r="R19" s="327">
        <v>53480.737000000001</v>
      </c>
      <c r="S19" s="327">
        <v>53480.74</v>
      </c>
    </row>
    <row r="20" spans="1:19" s="149" customFormat="1" ht="30">
      <c r="A20" s="329"/>
      <c r="B20" s="330"/>
      <c r="C20" s="330"/>
      <c r="D20" s="152" t="s">
        <v>470</v>
      </c>
      <c r="E20" s="152" t="s">
        <v>182</v>
      </c>
      <c r="F20" s="158">
        <v>142270</v>
      </c>
      <c r="G20" s="158">
        <v>138000</v>
      </c>
      <c r="H20" s="159">
        <f t="shared" si="0"/>
        <v>96.998664511140788</v>
      </c>
      <c r="I20" s="158">
        <v>142900</v>
      </c>
      <c r="J20" s="159">
        <f t="shared" si="1"/>
        <v>103.55072463768116</v>
      </c>
      <c r="K20" s="158">
        <v>142900</v>
      </c>
      <c r="L20" s="158">
        <v>142900</v>
      </c>
      <c r="M20" s="327"/>
      <c r="N20" s="327"/>
      <c r="O20" s="327" t="e">
        <f t="shared" si="5"/>
        <v>#DIV/0!</v>
      </c>
      <c r="P20" s="327"/>
      <c r="Q20" s="327" t="e">
        <f t="shared" si="6"/>
        <v>#DIV/0!</v>
      </c>
      <c r="R20" s="327">
        <f t="shared" si="4"/>
        <v>0</v>
      </c>
      <c r="S20" s="327" t="e">
        <f t="shared" si="4"/>
        <v>#DIV/0!</v>
      </c>
    </row>
    <row r="21" spans="1:19" s="149" customFormat="1" ht="60">
      <c r="A21" s="153">
        <v>8</v>
      </c>
      <c r="B21" s="154" t="s">
        <v>471</v>
      </c>
      <c r="C21" s="154" t="s">
        <v>472</v>
      </c>
      <c r="D21" s="152" t="s">
        <v>215</v>
      </c>
      <c r="E21" s="152" t="s">
        <v>214</v>
      </c>
      <c r="F21" s="160">
        <v>16</v>
      </c>
      <c r="G21" s="160">
        <v>7</v>
      </c>
      <c r="H21" s="159">
        <f t="shared" si="0"/>
        <v>43.75</v>
      </c>
      <c r="I21" s="160">
        <v>7</v>
      </c>
      <c r="J21" s="159">
        <f t="shared" si="1"/>
        <v>100</v>
      </c>
      <c r="K21" s="160">
        <v>7</v>
      </c>
      <c r="L21" s="160">
        <v>7</v>
      </c>
      <c r="M21" s="162">
        <v>433.12481300000002</v>
      </c>
      <c r="N21" s="162">
        <v>470</v>
      </c>
      <c r="O21" s="162">
        <f t="shared" si="5"/>
        <v>108.51375536409178</v>
      </c>
      <c r="P21" s="162">
        <v>583.35599999999999</v>
      </c>
      <c r="Q21" s="162">
        <f t="shared" si="6"/>
        <v>124.11829787234043</v>
      </c>
      <c r="R21" s="162">
        <v>525.02</v>
      </c>
      <c r="S21" s="162">
        <v>525.02</v>
      </c>
    </row>
    <row r="22" spans="1:19" s="149" customFormat="1" ht="47.25" customHeight="1">
      <c r="A22" s="329">
        <v>9</v>
      </c>
      <c r="B22" s="330" t="s">
        <v>473</v>
      </c>
      <c r="C22" s="330" t="s">
        <v>474</v>
      </c>
      <c r="D22" s="152" t="s">
        <v>475</v>
      </c>
      <c r="E22" s="152" t="s">
        <v>182</v>
      </c>
      <c r="F22" s="158">
        <v>45810</v>
      </c>
      <c r="G22" s="158">
        <v>43600</v>
      </c>
      <c r="H22" s="159">
        <f t="shared" si="0"/>
        <v>95.175725824055874</v>
      </c>
      <c r="I22" s="158">
        <v>43600</v>
      </c>
      <c r="J22" s="159">
        <f t="shared" si="1"/>
        <v>100</v>
      </c>
      <c r="K22" s="158">
        <v>43600</v>
      </c>
      <c r="L22" s="158">
        <v>43600</v>
      </c>
      <c r="M22" s="327">
        <v>48577.88</v>
      </c>
      <c r="N22" s="327">
        <f>46079.96+1925</f>
        <v>48004.959999999999</v>
      </c>
      <c r="O22" s="327">
        <f>N22/M22*100</f>
        <v>98.820615473544748</v>
      </c>
      <c r="P22" s="327">
        <v>48013.600000000006</v>
      </c>
      <c r="Q22" s="327">
        <f>P22/N22*100</f>
        <v>100.01799814019219</v>
      </c>
      <c r="R22" s="327">
        <v>43242.235999999997</v>
      </c>
      <c r="S22" s="327">
        <v>43242.235999999997</v>
      </c>
    </row>
    <row r="23" spans="1:19" s="149" customFormat="1" ht="38.25" customHeight="1">
      <c r="A23" s="329"/>
      <c r="B23" s="330"/>
      <c r="C23" s="330"/>
      <c r="D23" s="152" t="s">
        <v>476</v>
      </c>
      <c r="E23" s="152" t="s">
        <v>182</v>
      </c>
      <c r="F23" s="158">
        <v>447381</v>
      </c>
      <c r="G23" s="158">
        <v>452300</v>
      </c>
      <c r="H23" s="159">
        <f t="shared" si="0"/>
        <v>101.09951026082913</v>
      </c>
      <c r="I23" s="158">
        <v>465000</v>
      </c>
      <c r="J23" s="159">
        <f t="shared" si="1"/>
        <v>102.80787088215786</v>
      </c>
      <c r="K23" s="158">
        <v>465000</v>
      </c>
      <c r="L23" s="158">
        <v>465000</v>
      </c>
      <c r="M23" s="327"/>
      <c r="N23" s="327"/>
      <c r="O23" s="327"/>
      <c r="P23" s="327"/>
      <c r="Q23" s="327"/>
      <c r="R23" s="327"/>
      <c r="S23" s="327"/>
    </row>
    <row r="24" spans="1:19" s="149" customFormat="1" ht="75">
      <c r="A24" s="153">
        <v>10</v>
      </c>
      <c r="B24" s="154" t="s">
        <v>477</v>
      </c>
      <c r="C24" s="154" t="s">
        <v>478</v>
      </c>
      <c r="D24" s="152" t="s">
        <v>434</v>
      </c>
      <c r="E24" s="152" t="s">
        <v>479</v>
      </c>
      <c r="F24" s="158">
        <v>1474143</v>
      </c>
      <c r="G24" s="158">
        <v>1442443</v>
      </c>
      <c r="H24" s="159">
        <f t="shared" si="0"/>
        <v>97.849598037639495</v>
      </c>
      <c r="I24" s="158">
        <v>1442443</v>
      </c>
      <c r="J24" s="159">
        <f t="shared" si="1"/>
        <v>100</v>
      </c>
      <c r="K24" s="158">
        <v>1442443</v>
      </c>
      <c r="L24" s="158">
        <v>1442443</v>
      </c>
      <c r="M24" s="162">
        <v>20905.989529999999</v>
      </c>
      <c r="N24" s="162">
        <v>19701</v>
      </c>
      <c r="O24" s="162">
        <f>N24/M24*100</f>
        <v>94.236151662322214</v>
      </c>
      <c r="P24" s="162">
        <v>20685.563999999998</v>
      </c>
      <c r="Q24" s="162">
        <f>P24/N24*100</f>
        <v>104.99753312014617</v>
      </c>
      <c r="R24" s="162">
        <v>18617.008000000002</v>
      </c>
      <c r="S24" s="162">
        <v>18617.008000000002</v>
      </c>
    </row>
    <row r="25" spans="1:19" s="149" customFormat="1" ht="70.5" customHeight="1">
      <c r="A25" s="153">
        <v>11</v>
      </c>
      <c r="B25" s="154" t="s">
        <v>480</v>
      </c>
      <c r="C25" s="154" t="s">
        <v>472</v>
      </c>
      <c r="D25" s="152" t="s">
        <v>481</v>
      </c>
      <c r="E25" s="152" t="s">
        <v>214</v>
      </c>
      <c r="F25" s="158">
        <v>40</v>
      </c>
      <c r="G25" s="158">
        <v>40</v>
      </c>
      <c r="H25" s="159">
        <f t="shared" si="0"/>
        <v>100</v>
      </c>
      <c r="I25" s="158">
        <v>40</v>
      </c>
      <c r="J25" s="159">
        <f t="shared" si="1"/>
        <v>100</v>
      </c>
      <c r="K25" s="158">
        <v>40</v>
      </c>
      <c r="L25" s="158">
        <v>40</v>
      </c>
      <c r="M25" s="162">
        <v>2661.38</v>
      </c>
      <c r="N25" s="162">
        <v>2595.1999999999998</v>
      </c>
      <c r="O25" s="162">
        <f>N25/M25*100</f>
        <v>97.513320157211652</v>
      </c>
      <c r="P25" s="162">
        <v>2724.8960000000002</v>
      </c>
      <c r="Q25" s="162">
        <f>P25/N25*100</f>
        <v>104.99753390875463</v>
      </c>
      <c r="R25" s="162">
        <v>2452.41</v>
      </c>
      <c r="S25" s="162">
        <v>2452.41</v>
      </c>
    </row>
    <row r="26" spans="1:19" s="149" customFormat="1" ht="49.5" customHeight="1">
      <c r="A26" s="329">
        <v>12</v>
      </c>
      <c r="B26" s="330" t="s">
        <v>482</v>
      </c>
      <c r="C26" s="330" t="s">
        <v>483</v>
      </c>
      <c r="D26" s="152" t="s">
        <v>484</v>
      </c>
      <c r="E26" s="152" t="s">
        <v>214</v>
      </c>
      <c r="F26" s="160">
        <v>38</v>
      </c>
      <c r="G26" s="160">
        <v>38</v>
      </c>
      <c r="H26" s="159">
        <f t="shared" si="0"/>
        <v>100</v>
      </c>
      <c r="I26" s="160">
        <v>38</v>
      </c>
      <c r="J26" s="159">
        <f t="shared" si="1"/>
        <v>100</v>
      </c>
      <c r="K26" s="160">
        <v>38</v>
      </c>
      <c r="L26" s="160">
        <v>38</v>
      </c>
      <c r="M26" s="327">
        <v>11735.3526</v>
      </c>
      <c r="N26" s="327">
        <v>17300.900000000001</v>
      </c>
      <c r="O26" s="327">
        <f>N26/M26*100</f>
        <v>147.42548085005987</v>
      </c>
      <c r="P26" s="327">
        <v>18239.965</v>
      </c>
      <c r="Q26" s="327">
        <f>P26/N26*100</f>
        <v>105.42783901415534</v>
      </c>
      <c r="R26" s="327">
        <v>16519.971000000001</v>
      </c>
      <c r="S26" s="327">
        <v>16519.971000000001</v>
      </c>
    </row>
    <row r="27" spans="1:19" s="149" customFormat="1" ht="49.5" customHeight="1">
      <c r="A27" s="329"/>
      <c r="B27" s="330"/>
      <c r="C27" s="330"/>
      <c r="D27" s="152" t="s">
        <v>485</v>
      </c>
      <c r="E27" s="152" t="s">
        <v>182</v>
      </c>
      <c r="F27" s="160">
        <v>652</v>
      </c>
      <c r="G27" s="160">
        <v>652</v>
      </c>
      <c r="H27" s="159">
        <f t="shared" si="0"/>
        <v>100</v>
      </c>
      <c r="I27" s="160">
        <v>652</v>
      </c>
      <c r="J27" s="159">
        <f t="shared" si="1"/>
        <v>100</v>
      </c>
      <c r="K27" s="160">
        <v>652</v>
      </c>
      <c r="L27" s="160">
        <v>652</v>
      </c>
      <c r="M27" s="327"/>
      <c r="N27" s="327"/>
      <c r="O27" s="327"/>
      <c r="P27" s="327"/>
      <c r="Q27" s="327"/>
      <c r="R27" s="327"/>
      <c r="S27" s="327"/>
    </row>
    <row r="28" spans="1:19" s="149" customFormat="1" ht="63" customHeight="1">
      <c r="A28" s="153">
        <v>13</v>
      </c>
      <c r="B28" s="154" t="s">
        <v>480</v>
      </c>
      <c r="C28" s="154" t="s">
        <v>486</v>
      </c>
      <c r="D28" s="152" t="s">
        <v>481</v>
      </c>
      <c r="E28" s="152" t="s">
        <v>214</v>
      </c>
      <c r="F28" s="160">
        <v>19</v>
      </c>
      <c r="G28" s="160">
        <v>17</v>
      </c>
      <c r="H28" s="159">
        <f t="shared" si="0"/>
        <v>89.473684210526315</v>
      </c>
      <c r="I28" s="160">
        <v>17</v>
      </c>
      <c r="J28" s="159">
        <f t="shared" si="1"/>
        <v>100</v>
      </c>
      <c r="K28" s="160">
        <v>17</v>
      </c>
      <c r="L28" s="160">
        <v>17</v>
      </c>
      <c r="M28" s="162">
        <v>8188.99</v>
      </c>
      <c r="N28" s="162">
        <v>8748.7999999999993</v>
      </c>
      <c r="O28" s="162">
        <f>N28/M28*100</f>
        <v>106.83612997451455</v>
      </c>
      <c r="P28" s="162">
        <v>9893.9</v>
      </c>
      <c r="Q28" s="162">
        <f t="shared" ref="Q28:Q39" si="7">P28/N28*100</f>
        <v>113.08865215801025</v>
      </c>
      <c r="R28" s="162">
        <v>8904.51</v>
      </c>
      <c r="S28" s="162">
        <v>8904.51</v>
      </c>
    </row>
    <row r="29" spans="1:19" s="149" customFormat="1" ht="125.25" customHeight="1">
      <c r="A29" s="153">
        <v>14</v>
      </c>
      <c r="B29" s="154" t="s">
        <v>487</v>
      </c>
      <c r="C29" s="154" t="s">
        <v>488</v>
      </c>
      <c r="D29" s="152" t="s">
        <v>489</v>
      </c>
      <c r="E29" s="152" t="s">
        <v>214</v>
      </c>
      <c r="F29" s="160">
        <v>100</v>
      </c>
      <c r="G29" s="160">
        <v>46</v>
      </c>
      <c r="H29" s="159">
        <f t="shared" si="0"/>
        <v>46</v>
      </c>
      <c r="I29" s="160">
        <v>46</v>
      </c>
      <c r="J29" s="159">
        <f t="shared" si="1"/>
        <v>100</v>
      </c>
      <c r="K29" s="160">
        <v>46</v>
      </c>
      <c r="L29" s="160">
        <v>46</v>
      </c>
      <c r="M29" s="162">
        <v>3076.538</v>
      </c>
      <c r="N29" s="162">
        <v>2928.02</v>
      </c>
      <c r="O29" s="162">
        <f>N29/M29*100</f>
        <v>95.172560845989878</v>
      </c>
      <c r="P29" s="162">
        <v>2692.39</v>
      </c>
      <c r="Q29" s="162">
        <f t="shared" si="7"/>
        <v>91.952582291104562</v>
      </c>
      <c r="R29" s="162">
        <v>2424.951</v>
      </c>
      <c r="S29" s="162">
        <v>2424.951</v>
      </c>
    </row>
    <row r="30" spans="1:19" s="149" customFormat="1" ht="105">
      <c r="A30" s="329">
        <v>15</v>
      </c>
      <c r="B30" s="154" t="s">
        <v>349</v>
      </c>
      <c r="C30" s="154" t="s">
        <v>488</v>
      </c>
      <c r="D30" s="152" t="s">
        <v>490</v>
      </c>
      <c r="E30" s="152" t="s">
        <v>214</v>
      </c>
      <c r="F30" s="160">
        <v>9</v>
      </c>
      <c r="G30" s="160">
        <v>7</v>
      </c>
      <c r="H30" s="159">
        <f t="shared" si="0"/>
        <v>77.777777777777786</v>
      </c>
      <c r="I30" s="160">
        <v>7</v>
      </c>
      <c r="J30" s="159">
        <f t="shared" si="1"/>
        <v>100</v>
      </c>
      <c r="K30" s="160">
        <v>7</v>
      </c>
      <c r="L30" s="160">
        <v>7</v>
      </c>
      <c r="M30" s="162">
        <v>5107.9620000000004</v>
      </c>
      <c r="N30" s="162">
        <v>12723</v>
      </c>
      <c r="O30" s="162">
        <f>N30/M30*100</f>
        <v>249.0817277027511</v>
      </c>
      <c r="P30" s="162">
        <v>4610.6099999999997</v>
      </c>
      <c r="Q30" s="162">
        <f t="shared" si="7"/>
        <v>36.238387172836596</v>
      </c>
      <c r="R30" s="162">
        <v>4149.549</v>
      </c>
      <c r="S30" s="162">
        <v>4149.549</v>
      </c>
    </row>
    <row r="31" spans="1:19" s="149" customFormat="1" ht="75" customHeight="1">
      <c r="A31" s="329"/>
      <c r="B31" s="154" t="s">
        <v>491</v>
      </c>
      <c r="C31" s="154" t="s">
        <v>492</v>
      </c>
      <c r="D31" s="152" t="s">
        <v>493</v>
      </c>
      <c r="E31" s="152" t="s">
        <v>182</v>
      </c>
      <c r="F31" s="160">
        <v>1319</v>
      </c>
      <c r="G31" s="160">
        <v>1360</v>
      </c>
      <c r="H31" s="159">
        <f t="shared" si="0"/>
        <v>103.10841546626233</v>
      </c>
      <c r="I31" s="160">
        <v>1387</v>
      </c>
      <c r="J31" s="159">
        <f t="shared" si="1"/>
        <v>101.98529411764706</v>
      </c>
      <c r="K31" s="160">
        <v>1387</v>
      </c>
      <c r="L31" s="160">
        <v>1387</v>
      </c>
      <c r="M31" s="162">
        <v>63521.7</v>
      </c>
      <c r="N31" s="162">
        <f>64611.64+10417-17973.25</f>
        <v>57055.39</v>
      </c>
      <c r="O31" s="162">
        <f>N31/M31*100</f>
        <v>89.820313373225218</v>
      </c>
      <c r="P31" s="162">
        <v>72626.620999999999</v>
      </c>
      <c r="Q31" s="162">
        <f t="shared" si="7"/>
        <v>127.29142855740712</v>
      </c>
      <c r="R31" s="162">
        <v>65009.4</v>
      </c>
      <c r="S31" s="162">
        <v>65009.4</v>
      </c>
    </row>
    <row r="32" spans="1:19" s="149" customFormat="1" ht="64.5" customHeight="1">
      <c r="A32" s="153">
        <v>16</v>
      </c>
      <c r="B32" s="154" t="s">
        <v>240</v>
      </c>
      <c r="C32" s="154" t="s">
        <v>492</v>
      </c>
      <c r="D32" s="152" t="s">
        <v>493</v>
      </c>
      <c r="E32" s="152" t="s">
        <v>182</v>
      </c>
      <c r="F32" s="160">
        <v>669</v>
      </c>
      <c r="G32" s="160">
        <v>665</v>
      </c>
      <c r="H32" s="159">
        <f t="shared" si="0"/>
        <v>99.402092675635274</v>
      </c>
      <c r="I32" s="160">
        <v>785</v>
      </c>
      <c r="J32" s="159">
        <f t="shared" si="1"/>
        <v>118.04511278195488</v>
      </c>
      <c r="K32" s="160">
        <v>785</v>
      </c>
      <c r="L32" s="160">
        <v>785</v>
      </c>
      <c r="M32" s="162">
        <v>10527.30932</v>
      </c>
      <c r="N32" s="162">
        <v>14927.7</v>
      </c>
      <c r="O32" s="162">
        <f t="shared" ref="O32:O39" si="8">N32/M32*100</f>
        <v>141.79976617234993</v>
      </c>
      <c r="P32" s="162">
        <v>21529.289000000001</v>
      </c>
      <c r="Q32" s="162">
        <f t="shared" si="7"/>
        <v>144.22375181709171</v>
      </c>
      <c r="R32" s="162">
        <v>19376.36</v>
      </c>
      <c r="S32" s="162">
        <v>19376.36</v>
      </c>
    </row>
    <row r="33" spans="1:20" s="149" customFormat="1" ht="75" customHeight="1">
      <c r="A33" s="153">
        <v>17</v>
      </c>
      <c r="B33" s="154" t="s">
        <v>494</v>
      </c>
      <c r="C33" s="161" t="s">
        <v>492</v>
      </c>
      <c r="D33" s="152" t="s">
        <v>493</v>
      </c>
      <c r="E33" s="152" t="s">
        <v>182</v>
      </c>
      <c r="F33" s="160">
        <v>118</v>
      </c>
      <c r="G33" s="160">
        <v>128</v>
      </c>
      <c r="H33" s="159">
        <f t="shared" si="0"/>
        <v>108.47457627118644</v>
      </c>
      <c r="I33" s="160">
        <v>128</v>
      </c>
      <c r="J33" s="159">
        <f t="shared" si="1"/>
        <v>100</v>
      </c>
      <c r="K33" s="160">
        <v>128</v>
      </c>
      <c r="L33" s="160">
        <v>128</v>
      </c>
      <c r="M33" s="162">
        <v>7791.9</v>
      </c>
      <c r="N33" s="162">
        <v>7161.6</v>
      </c>
      <c r="O33" s="162">
        <f t="shared" si="8"/>
        <v>91.910830477803884</v>
      </c>
      <c r="P33" s="162">
        <v>9323.2000000000007</v>
      </c>
      <c r="Q33" s="162">
        <f t="shared" si="7"/>
        <v>130.18319928507594</v>
      </c>
      <c r="R33" s="162">
        <v>8390.9</v>
      </c>
      <c r="S33" s="162">
        <v>8390.9</v>
      </c>
    </row>
    <row r="34" spans="1:20" s="149" customFormat="1" ht="64.5" customHeight="1">
      <c r="A34" s="153">
        <v>18</v>
      </c>
      <c r="B34" s="154" t="s">
        <v>495</v>
      </c>
      <c r="C34" s="154" t="s">
        <v>492</v>
      </c>
      <c r="D34" s="152" t="s">
        <v>493</v>
      </c>
      <c r="E34" s="152" t="s">
        <v>182</v>
      </c>
      <c r="F34" s="160">
        <v>179</v>
      </c>
      <c r="G34" s="160">
        <v>172</v>
      </c>
      <c r="H34" s="159">
        <f t="shared" si="0"/>
        <v>96.089385474860336</v>
      </c>
      <c r="I34" s="160">
        <v>172</v>
      </c>
      <c r="J34" s="159">
        <f t="shared" si="1"/>
        <v>100</v>
      </c>
      <c r="K34" s="160">
        <v>172</v>
      </c>
      <c r="L34" s="160">
        <v>172</v>
      </c>
      <c r="M34" s="162">
        <v>22021.200000000001</v>
      </c>
      <c r="N34" s="162">
        <v>28186.9</v>
      </c>
      <c r="O34" s="162">
        <f t="shared" si="8"/>
        <v>127.99892830545112</v>
      </c>
      <c r="P34" s="162">
        <v>28048.5</v>
      </c>
      <c r="Q34" s="162">
        <f t="shared" si="7"/>
        <v>99.508991765678374</v>
      </c>
      <c r="R34" s="162">
        <v>25243.66</v>
      </c>
      <c r="S34" s="162">
        <v>25243.66</v>
      </c>
    </row>
    <row r="35" spans="1:20" s="149" customFormat="1" ht="64.5" customHeight="1">
      <c r="A35" s="153">
        <v>19</v>
      </c>
      <c r="B35" s="154" t="s">
        <v>161</v>
      </c>
      <c r="C35" s="154" t="s">
        <v>496</v>
      </c>
      <c r="D35" s="152" t="s">
        <v>493</v>
      </c>
      <c r="E35" s="152" t="s">
        <v>182</v>
      </c>
      <c r="F35" s="160">
        <v>115</v>
      </c>
      <c r="G35" s="160">
        <v>111</v>
      </c>
      <c r="H35" s="159">
        <f t="shared" si="0"/>
        <v>96.521739130434781</v>
      </c>
      <c r="I35" s="160">
        <v>111</v>
      </c>
      <c r="J35" s="159">
        <f t="shared" si="1"/>
        <v>100</v>
      </c>
      <c r="K35" s="160">
        <v>111</v>
      </c>
      <c r="L35" s="160">
        <v>111</v>
      </c>
      <c r="M35" s="162">
        <v>9247.5</v>
      </c>
      <c r="N35" s="162">
        <v>10601.4</v>
      </c>
      <c r="O35" s="162">
        <f t="shared" si="8"/>
        <v>114.64071370640714</v>
      </c>
      <c r="P35" s="162">
        <v>12422.2</v>
      </c>
      <c r="Q35" s="162">
        <f t="shared" si="7"/>
        <v>117.17509008244195</v>
      </c>
      <c r="R35" s="162">
        <v>11180</v>
      </c>
      <c r="S35" s="162">
        <v>11180</v>
      </c>
    </row>
    <row r="36" spans="1:20" s="149" customFormat="1" ht="64.5" customHeight="1">
      <c r="A36" s="153">
        <v>20</v>
      </c>
      <c r="B36" s="154" t="s">
        <v>194</v>
      </c>
      <c r="C36" s="154" t="s">
        <v>496</v>
      </c>
      <c r="D36" s="152" t="s">
        <v>493</v>
      </c>
      <c r="E36" s="152" t="s">
        <v>182</v>
      </c>
      <c r="F36" s="160">
        <v>77</v>
      </c>
      <c r="G36" s="160">
        <v>83</v>
      </c>
      <c r="H36" s="159">
        <f t="shared" si="0"/>
        <v>107.79220779220779</v>
      </c>
      <c r="I36" s="160">
        <v>83</v>
      </c>
      <c r="J36" s="159">
        <f t="shared" si="1"/>
        <v>100</v>
      </c>
      <c r="K36" s="160">
        <v>83</v>
      </c>
      <c r="L36" s="160">
        <v>83</v>
      </c>
      <c r="M36" s="162">
        <v>3989.5</v>
      </c>
      <c r="N36" s="162">
        <v>3173.6</v>
      </c>
      <c r="O36" s="162">
        <f t="shared" si="8"/>
        <v>79.548815641057786</v>
      </c>
      <c r="P36" s="162">
        <v>3074.9</v>
      </c>
      <c r="Q36" s="162">
        <f t="shared" si="7"/>
        <v>96.889967229644569</v>
      </c>
      <c r="R36" s="162">
        <v>2767.4</v>
      </c>
      <c r="S36" s="162">
        <v>2767.4</v>
      </c>
    </row>
    <row r="37" spans="1:20" s="149" customFormat="1" ht="85.5" customHeight="1">
      <c r="A37" s="153">
        <v>21</v>
      </c>
      <c r="B37" s="154" t="s">
        <v>195</v>
      </c>
      <c r="C37" s="154" t="s">
        <v>492</v>
      </c>
      <c r="D37" s="152" t="s">
        <v>493</v>
      </c>
      <c r="E37" s="152" t="s">
        <v>182</v>
      </c>
      <c r="F37" s="160">
        <v>25</v>
      </c>
      <c r="G37" s="160">
        <v>5</v>
      </c>
      <c r="H37" s="159">
        <f t="shared" si="0"/>
        <v>20</v>
      </c>
      <c r="I37" s="160">
        <v>5</v>
      </c>
      <c r="J37" s="159">
        <f t="shared" si="1"/>
        <v>100</v>
      </c>
      <c r="K37" s="160">
        <v>5</v>
      </c>
      <c r="L37" s="160">
        <v>5</v>
      </c>
      <c r="M37" s="162">
        <v>510.5</v>
      </c>
      <c r="N37" s="162">
        <v>674</v>
      </c>
      <c r="O37" s="162">
        <f>N37/M37*100</f>
        <v>132.02742409402546</v>
      </c>
      <c r="P37" s="162">
        <v>789.8</v>
      </c>
      <c r="Q37" s="162">
        <f t="shared" si="7"/>
        <v>117.18100890207714</v>
      </c>
      <c r="R37" s="162">
        <v>710.8</v>
      </c>
      <c r="S37" s="162">
        <v>710.8</v>
      </c>
    </row>
    <row r="38" spans="1:20" s="149" customFormat="1" ht="131.25" customHeight="1">
      <c r="A38" s="153">
        <v>22</v>
      </c>
      <c r="B38" s="154" t="s">
        <v>196</v>
      </c>
      <c r="C38" s="154" t="s">
        <v>492</v>
      </c>
      <c r="D38" s="152" t="s">
        <v>493</v>
      </c>
      <c r="E38" s="152" t="s">
        <v>182</v>
      </c>
      <c r="F38" s="160">
        <v>255</v>
      </c>
      <c r="G38" s="160">
        <v>255</v>
      </c>
      <c r="H38" s="159">
        <f t="shared" si="0"/>
        <v>100</v>
      </c>
      <c r="I38" s="160">
        <v>255</v>
      </c>
      <c r="J38" s="159">
        <f t="shared" si="1"/>
        <v>100</v>
      </c>
      <c r="K38" s="160">
        <v>255</v>
      </c>
      <c r="L38" s="160">
        <v>255</v>
      </c>
      <c r="M38" s="162">
        <v>510.5</v>
      </c>
      <c r="N38" s="162">
        <v>674</v>
      </c>
      <c r="O38" s="162">
        <f t="shared" si="8"/>
        <v>132.02742409402546</v>
      </c>
      <c r="P38" s="162">
        <v>789.8</v>
      </c>
      <c r="Q38" s="162">
        <f t="shared" si="7"/>
        <v>117.18100890207714</v>
      </c>
      <c r="R38" s="162">
        <v>710.8</v>
      </c>
      <c r="S38" s="162">
        <v>710.8</v>
      </c>
    </row>
    <row r="39" spans="1:20" s="149" customFormat="1" ht="52.5" customHeight="1">
      <c r="A39" s="153">
        <v>23</v>
      </c>
      <c r="B39" s="154" t="s">
        <v>497</v>
      </c>
      <c r="C39" s="154" t="s">
        <v>486</v>
      </c>
      <c r="D39" s="152" t="s">
        <v>215</v>
      </c>
      <c r="E39" s="152" t="s">
        <v>214</v>
      </c>
      <c r="F39" s="160">
        <v>22</v>
      </c>
      <c r="G39" s="160">
        <v>11</v>
      </c>
      <c r="H39" s="159">
        <f t="shared" si="0"/>
        <v>50</v>
      </c>
      <c r="I39" s="160">
        <v>11</v>
      </c>
      <c r="J39" s="159">
        <f t="shared" si="1"/>
        <v>100</v>
      </c>
      <c r="K39" s="160">
        <v>11</v>
      </c>
      <c r="L39" s="160">
        <v>11</v>
      </c>
      <c r="M39" s="162">
        <v>323.5</v>
      </c>
      <c r="N39" s="162">
        <v>388.23500000000001</v>
      </c>
      <c r="O39" s="162">
        <f t="shared" si="8"/>
        <v>120.01081916537868</v>
      </c>
      <c r="P39" s="162">
        <v>404.41199999999998</v>
      </c>
      <c r="Q39" s="162">
        <f t="shared" si="7"/>
        <v>104.16680618697438</v>
      </c>
      <c r="R39" s="162">
        <v>404.41199999999998</v>
      </c>
      <c r="S39" s="162">
        <v>404.41199999999998</v>
      </c>
    </row>
    <row r="40" spans="1:20" s="149" customFormat="1" ht="105.75" customHeight="1">
      <c r="A40" s="153">
        <v>24</v>
      </c>
      <c r="B40" s="154" t="s">
        <v>498</v>
      </c>
      <c r="C40" s="154" t="s">
        <v>499</v>
      </c>
      <c r="D40" s="152" t="s">
        <v>493</v>
      </c>
      <c r="E40" s="152" t="s">
        <v>182</v>
      </c>
      <c r="F40" s="160">
        <v>493</v>
      </c>
      <c r="G40" s="160">
        <v>500</v>
      </c>
      <c r="H40" s="159">
        <f t="shared" si="0"/>
        <v>101.41987829614605</v>
      </c>
      <c r="I40" s="160">
        <v>505</v>
      </c>
      <c r="J40" s="159">
        <f t="shared" si="1"/>
        <v>101</v>
      </c>
      <c r="K40" s="160">
        <v>505</v>
      </c>
      <c r="L40" s="160">
        <v>505</v>
      </c>
      <c r="M40" s="162">
        <v>97083.6</v>
      </c>
      <c r="N40" s="162">
        <f>98868.4+38334.71</f>
        <v>137203.10999999999</v>
      </c>
      <c r="O40" s="162">
        <f>N40/M40*100</f>
        <v>141.32470365746633</v>
      </c>
      <c r="P40" s="162">
        <f>118581.76+1748.07</f>
        <v>120329.83</v>
      </c>
      <c r="Q40" s="162">
        <f>P40/N40*100</f>
        <v>87.701969729403373</v>
      </c>
      <c r="R40" s="162">
        <f>106723.62+1742.39</f>
        <v>108466.01</v>
      </c>
      <c r="S40" s="162">
        <v>108466.01</v>
      </c>
    </row>
    <row r="41" spans="1:20" s="149" customFormat="1" ht="60" customHeight="1">
      <c r="A41" s="329">
        <v>25</v>
      </c>
      <c r="B41" s="330" t="s">
        <v>500</v>
      </c>
      <c r="C41" s="154" t="s">
        <v>501</v>
      </c>
      <c r="D41" s="155" t="s">
        <v>502</v>
      </c>
      <c r="E41" s="153" t="s">
        <v>382</v>
      </c>
      <c r="F41" s="160">
        <v>293</v>
      </c>
      <c r="G41" s="160">
        <v>175</v>
      </c>
      <c r="H41" s="159">
        <f t="shared" si="0"/>
        <v>59.726962457337883</v>
      </c>
      <c r="I41" s="160">
        <v>175</v>
      </c>
      <c r="J41" s="159">
        <f t="shared" si="1"/>
        <v>100</v>
      </c>
      <c r="K41" s="160">
        <v>175</v>
      </c>
      <c r="L41" s="160">
        <v>175</v>
      </c>
      <c r="M41" s="162">
        <v>4912.67</v>
      </c>
      <c r="N41" s="162">
        <v>5058</v>
      </c>
      <c r="O41" s="162">
        <f t="shared" ref="O41:O44" si="9">N41/M41*100</f>
        <v>102.95826912860014</v>
      </c>
      <c r="P41" s="162">
        <v>6091.16</v>
      </c>
      <c r="Q41" s="162">
        <f>P41/N41*100</f>
        <v>120.4262554369316</v>
      </c>
      <c r="R41" s="162">
        <v>5482.0439999999999</v>
      </c>
      <c r="S41" s="162">
        <v>5482.0439999999999</v>
      </c>
      <c r="T41" s="150"/>
    </row>
    <row r="42" spans="1:20" s="149" customFormat="1" ht="75">
      <c r="A42" s="329"/>
      <c r="B42" s="330"/>
      <c r="C42" s="154" t="s">
        <v>503</v>
      </c>
      <c r="D42" s="155" t="s">
        <v>504</v>
      </c>
      <c r="E42" s="153" t="s">
        <v>382</v>
      </c>
      <c r="F42" s="158">
        <v>7926</v>
      </c>
      <c r="G42" s="158">
        <v>7400</v>
      </c>
      <c r="H42" s="159">
        <f t="shared" si="0"/>
        <v>93.363613424173607</v>
      </c>
      <c r="I42" s="158">
        <v>7400</v>
      </c>
      <c r="J42" s="159">
        <f t="shared" si="1"/>
        <v>100</v>
      </c>
      <c r="K42" s="158">
        <v>7400</v>
      </c>
      <c r="L42" s="158">
        <v>7400</v>
      </c>
      <c r="M42" s="162">
        <v>6684.2920000000004</v>
      </c>
      <c r="N42" s="162">
        <v>7315.15</v>
      </c>
      <c r="O42" s="162">
        <f t="shared" si="9"/>
        <v>109.43791803230619</v>
      </c>
      <c r="P42" s="162">
        <v>8809.3610000000008</v>
      </c>
      <c r="Q42" s="162">
        <f>P42/N42*100</f>
        <v>120.4262523666637</v>
      </c>
      <c r="R42" s="162">
        <v>7928.424</v>
      </c>
      <c r="S42" s="162">
        <v>7928.424</v>
      </c>
    </row>
    <row r="43" spans="1:20" s="149" customFormat="1" ht="45" customHeight="1">
      <c r="A43" s="329">
        <v>26</v>
      </c>
      <c r="B43" s="330" t="s">
        <v>505</v>
      </c>
      <c r="C43" s="330" t="s">
        <v>506</v>
      </c>
      <c r="D43" s="155" t="s">
        <v>507</v>
      </c>
      <c r="E43" s="153" t="s">
        <v>382</v>
      </c>
      <c r="F43" s="158">
        <v>1716</v>
      </c>
      <c r="G43" s="158">
        <v>1150</v>
      </c>
      <c r="H43" s="159">
        <f t="shared" si="0"/>
        <v>67.016317016317018</v>
      </c>
      <c r="I43" s="158">
        <v>1150</v>
      </c>
      <c r="J43" s="159">
        <f t="shared" si="1"/>
        <v>100</v>
      </c>
      <c r="K43" s="158">
        <v>1150</v>
      </c>
      <c r="L43" s="158">
        <v>1150</v>
      </c>
      <c r="M43" s="162">
        <v>1355.18</v>
      </c>
      <c r="N43" s="162">
        <v>1453.93</v>
      </c>
      <c r="O43" s="162">
        <f t="shared" si="9"/>
        <v>107.28685488274621</v>
      </c>
      <c r="P43" s="162">
        <v>1750.913</v>
      </c>
      <c r="Q43" s="162">
        <f t="shared" ref="Q43" si="10">P43/N43*100</f>
        <v>120.42622409607064</v>
      </c>
      <c r="R43" s="162">
        <v>1575.8219999999999</v>
      </c>
      <c r="S43" s="162">
        <v>1575.8219999999999</v>
      </c>
    </row>
    <row r="44" spans="1:20" s="149" customFormat="1" ht="45">
      <c r="A44" s="329"/>
      <c r="B44" s="330"/>
      <c r="C44" s="330"/>
      <c r="D44" s="155" t="s">
        <v>508</v>
      </c>
      <c r="E44" s="153" t="s">
        <v>382</v>
      </c>
      <c r="F44" s="158">
        <v>10519</v>
      </c>
      <c r="G44" s="158">
        <v>8970</v>
      </c>
      <c r="H44" s="159">
        <f t="shared" si="0"/>
        <v>85.274265614602157</v>
      </c>
      <c r="I44" s="158">
        <v>8970</v>
      </c>
      <c r="J44" s="159">
        <f t="shared" si="1"/>
        <v>100</v>
      </c>
      <c r="K44" s="158">
        <v>8970</v>
      </c>
      <c r="L44" s="158">
        <v>8970</v>
      </c>
      <c r="M44" s="162">
        <v>1212.701</v>
      </c>
      <c r="N44" s="162">
        <v>1170.81</v>
      </c>
      <c r="O44" s="162">
        <f t="shared" si="9"/>
        <v>96.545644804448898</v>
      </c>
      <c r="P44" s="162">
        <v>1409.963</v>
      </c>
      <c r="Q44" s="162">
        <f>P44/N44*100</f>
        <v>120.42628607545205</v>
      </c>
      <c r="R44" s="162">
        <v>1268.9659999999999</v>
      </c>
      <c r="S44" s="162">
        <v>1268.9659999999999</v>
      </c>
    </row>
    <row r="45" spans="1:20" s="149" customFormat="1" ht="45">
      <c r="A45" s="329">
        <v>27</v>
      </c>
      <c r="B45" s="330" t="s">
        <v>509</v>
      </c>
      <c r="C45" s="330" t="s">
        <v>510</v>
      </c>
      <c r="D45" s="155" t="s">
        <v>511</v>
      </c>
      <c r="E45" s="153" t="s">
        <v>382</v>
      </c>
      <c r="F45" s="158">
        <v>769570</v>
      </c>
      <c r="G45" s="158">
        <v>773275</v>
      </c>
      <c r="H45" s="159">
        <f t="shared" si="0"/>
        <v>100.48143768598048</v>
      </c>
      <c r="I45" s="158">
        <v>773275</v>
      </c>
      <c r="J45" s="159">
        <f t="shared" si="1"/>
        <v>100</v>
      </c>
      <c r="K45" s="158">
        <v>773275</v>
      </c>
      <c r="L45" s="158">
        <v>773275</v>
      </c>
      <c r="M45" s="327">
        <v>14351.982</v>
      </c>
      <c r="N45" s="327">
        <v>14866.89</v>
      </c>
      <c r="O45" s="327">
        <f>N45/M45*100</f>
        <v>103.58771352974105</v>
      </c>
      <c r="P45" s="327">
        <v>21045.664000000001</v>
      </c>
      <c r="Q45" s="327">
        <f>P45/N45*100</f>
        <v>141.56063574829707</v>
      </c>
      <c r="R45" s="327">
        <v>18941.098999999998</v>
      </c>
      <c r="S45" s="327">
        <v>18941.098999999998</v>
      </c>
    </row>
    <row r="46" spans="1:20" s="149" customFormat="1" ht="165" customHeight="1">
      <c r="A46" s="329"/>
      <c r="B46" s="330"/>
      <c r="C46" s="330"/>
      <c r="D46" s="155" t="s">
        <v>512</v>
      </c>
      <c r="E46" s="153" t="s">
        <v>382</v>
      </c>
      <c r="F46" s="158">
        <v>7520</v>
      </c>
      <c r="G46" s="158">
        <v>5687</v>
      </c>
      <c r="H46" s="159">
        <f t="shared" si="0"/>
        <v>75.625</v>
      </c>
      <c r="I46" s="158">
        <v>5687</v>
      </c>
      <c r="J46" s="159">
        <f t="shared" si="1"/>
        <v>100</v>
      </c>
      <c r="K46" s="158">
        <v>5687</v>
      </c>
      <c r="L46" s="158">
        <v>5687</v>
      </c>
      <c r="M46" s="327"/>
      <c r="N46" s="327"/>
      <c r="O46" s="327"/>
      <c r="P46" s="327"/>
      <c r="Q46" s="327"/>
      <c r="R46" s="327"/>
      <c r="S46" s="327"/>
    </row>
    <row r="47" spans="1:20" s="149" customFormat="1" ht="75">
      <c r="A47" s="153">
        <v>28</v>
      </c>
      <c r="B47" s="154" t="s">
        <v>513</v>
      </c>
      <c r="C47" s="154" t="s">
        <v>510</v>
      </c>
      <c r="D47" s="155" t="s">
        <v>514</v>
      </c>
      <c r="E47" s="153" t="s">
        <v>382</v>
      </c>
      <c r="F47" s="158">
        <v>5509</v>
      </c>
      <c r="G47" s="158">
        <v>4487</v>
      </c>
      <c r="H47" s="159">
        <f t="shared" si="0"/>
        <v>81.448538754764925</v>
      </c>
      <c r="I47" s="158">
        <v>4487</v>
      </c>
      <c r="J47" s="159">
        <f t="shared" si="1"/>
        <v>100</v>
      </c>
      <c r="K47" s="158">
        <v>4487</v>
      </c>
      <c r="L47" s="158">
        <v>4487</v>
      </c>
      <c r="M47" s="162">
        <v>8932.5341000000008</v>
      </c>
      <c r="N47" s="162">
        <v>8924.82</v>
      </c>
      <c r="O47" s="162">
        <f>N47/M47*100</f>
        <v>99.913640408044998</v>
      </c>
      <c r="P47" s="162">
        <v>10747.825999999999</v>
      </c>
      <c r="Q47" s="162">
        <f t="shared" ref="Q47:Q51" si="11">P47/N47*100</f>
        <v>120.42624949298697</v>
      </c>
      <c r="R47" s="162">
        <v>9673.0429999999997</v>
      </c>
      <c r="S47" s="162">
        <v>9673.0429999999997</v>
      </c>
    </row>
    <row r="48" spans="1:20" s="149" customFormat="1" ht="81.75" customHeight="1">
      <c r="A48" s="153">
        <v>29</v>
      </c>
      <c r="B48" s="156" t="s">
        <v>515</v>
      </c>
      <c r="C48" s="154" t="s">
        <v>510</v>
      </c>
      <c r="D48" s="157" t="s">
        <v>516</v>
      </c>
      <c r="E48" s="153" t="s">
        <v>382</v>
      </c>
      <c r="F48" s="158">
        <v>798</v>
      </c>
      <c r="G48" s="158">
        <v>640</v>
      </c>
      <c r="H48" s="159">
        <f t="shared" si="0"/>
        <v>80.200501253132828</v>
      </c>
      <c r="I48" s="158">
        <v>640</v>
      </c>
      <c r="J48" s="159">
        <f t="shared" si="1"/>
        <v>100</v>
      </c>
      <c r="K48" s="158">
        <v>640</v>
      </c>
      <c r="L48" s="158">
        <v>640</v>
      </c>
      <c r="M48" s="162">
        <v>5994.6049499999999</v>
      </c>
      <c r="N48" s="162">
        <v>5907.5</v>
      </c>
      <c r="O48" s="162">
        <f t="shared" ref="O48:O55" si="12">N48/M48*100</f>
        <v>98.546944281958062</v>
      </c>
      <c r="P48" s="162">
        <v>7114.18</v>
      </c>
      <c r="Q48" s="162">
        <f t="shared" si="11"/>
        <v>120.4262378332628</v>
      </c>
      <c r="R48" s="162">
        <v>6402.7619999999997</v>
      </c>
      <c r="S48" s="162">
        <v>6402.7619999999997</v>
      </c>
    </row>
    <row r="49" spans="1:19" s="149" customFormat="1" ht="60">
      <c r="A49" s="153">
        <v>30</v>
      </c>
      <c r="B49" s="156" t="s">
        <v>517</v>
      </c>
      <c r="C49" s="154" t="s">
        <v>518</v>
      </c>
      <c r="D49" s="155" t="s">
        <v>519</v>
      </c>
      <c r="E49" s="153" t="s">
        <v>382</v>
      </c>
      <c r="F49" s="158">
        <v>6472</v>
      </c>
      <c r="G49" s="158">
        <v>6472</v>
      </c>
      <c r="H49" s="159">
        <f t="shared" si="0"/>
        <v>100</v>
      </c>
      <c r="I49" s="158">
        <v>6472</v>
      </c>
      <c r="J49" s="159">
        <f t="shared" si="1"/>
        <v>100</v>
      </c>
      <c r="K49" s="158">
        <v>6472</v>
      </c>
      <c r="L49" s="158">
        <v>6472</v>
      </c>
      <c r="M49" s="162">
        <v>778.13518999999997</v>
      </c>
      <c r="N49" s="162">
        <v>678.7</v>
      </c>
      <c r="O49" s="162">
        <f t="shared" si="12"/>
        <v>87.221347745499088</v>
      </c>
      <c r="P49" s="162">
        <v>817.33299999999997</v>
      </c>
      <c r="Q49" s="162">
        <f t="shared" si="11"/>
        <v>120.42625607779578</v>
      </c>
      <c r="R49" s="162">
        <v>735.6</v>
      </c>
      <c r="S49" s="162">
        <v>735.6</v>
      </c>
    </row>
    <row r="50" spans="1:19" s="149" customFormat="1" ht="48.75" customHeight="1">
      <c r="A50" s="153">
        <v>31</v>
      </c>
      <c r="B50" s="156" t="s">
        <v>520</v>
      </c>
      <c r="C50" s="156" t="s">
        <v>521</v>
      </c>
      <c r="D50" s="155" t="s">
        <v>522</v>
      </c>
      <c r="E50" s="153" t="s">
        <v>382</v>
      </c>
      <c r="F50" s="158">
        <v>22</v>
      </c>
      <c r="G50" s="158">
        <v>22</v>
      </c>
      <c r="H50" s="159">
        <f t="shared" si="0"/>
        <v>100</v>
      </c>
      <c r="I50" s="158">
        <v>22</v>
      </c>
      <c r="J50" s="159">
        <f t="shared" si="1"/>
        <v>100</v>
      </c>
      <c r="K50" s="158">
        <v>22</v>
      </c>
      <c r="L50" s="158">
        <v>22</v>
      </c>
      <c r="M50" s="162">
        <v>26859.319</v>
      </c>
      <c r="N50" s="162">
        <v>27961.991999999998</v>
      </c>
      <c r="O50" s="162">
        <f t="shared" si="12"/>
        <v>104.10536469669987</v>
      </c>
      <c r="P50" s="162">
        <v>30929.512999999999</v>
      </c>
      <c r="Q50" s="162">
        <f t="shared" si="11"/>
        <v>110.6126952614821</v>
      </c>
      <c r="R50" s="162">
        <v>27836.560999999998</v>
      </c>
      <c r="S50" s="162">
        <v>27836.560999999998</v>
      </c>
    </row>
    <row r="51" spans="1:19" s="149" customFormat="1" ht="51" customHeight="1">
      <c r="A51" s="153">
        <v>32</v>
      </c>
      <c r="B51" s="156" t="s">
        <v>523</v>
      </c>
      <c r="C51" s="156" t="s">
        <v>521</v>
      </c>
      <c r="D51" s="155" t="s">
        <v>522</v>
      </c>
      <c r="E51" s="153" t="s">
        <v>382</v>
      </c>
      <c r="F51" s="158">
        <v>5</v>
      </c>
      <c r="G51" s="158">
        <v>5</v>
      </c>
      <c r="H51" s="159">
        <f t="shared" si="0"/>
        <v>100</v>
      </c>
      <c r="I51" s="158">
        <v>5</v>
      </c>
      <c r="J51" s="159">
        <f t="shared" si="1"/>
        <v>100</v>
      </c>
      <c r="K51" s="158">
        <v>5</v>
      </c>
      <c r="L51" s="158">
        <v>5</v>
      </c>
      <c r="M51" s="162">
        <v>4351.7910000000002</v>
      </c>
      <c r="N51" s="162">
        <v>4539.0079999999998</v>
      </c>
      <c r="O51" s="162">
        <f t="shared" si="12"/>
        <v>104.30206781529718</v>
      </c>
      <c r="P51" s="162">
        <v>5006.2870000000003</v>
      </c>
      <c r="Q51" s="162">
        <f t="shared" si="11"/>
        <v>110.29473840980233</v>
      </c>
      <c r="R51" s="162">
        <v>4505.6589999999997</v>
      </c>
      <c r="S51" s="162">
        <v>4505.6589999999997</v>
      </c>
    </row>
    <row r="52" spans="1:19" s="149" customFormat="1" ht="46.5" customHeight="1">
      <c r="A52" s="153">
        <v>33</v>
      </c>
      <c r="B52" s="156" t="s">
        <v>524</v>
      </c>
      <c r="C52" s="154" t="s">
        <v>525</v>
      </c>
      <c r="D52" s="152" t="s">
        <v>526</v>
      </c>
      <c r="E52" s="153" t="s">
        <v>527</v>
      </c>
      <c r="F52" s="158">
        <v>459990</v>
      </c>
      <c r="G52" s="158">
        <v>459990</v>
      </c>
      <c r="H52" s="159">
        <f t="shared" si="0"/>
        <v>100</v>
      </c>
      <c r="I52" s="158">
        <v>459990</v>
      </c>
      <c r="J52" s="159">
        <f t="shared" si="1"/>
        <v>100</v>
      </c>
      <c r="K52" s="158">
        <v>459990</v>
      </c>
      <c r="L52" s="158">
        <v>459990</v>
      </c>
      <c r="M52" s="162">
        <v>16030.04</v>
      </c>
      <c r="N52" s="162">
        <v>16289.657999999999</v>
      </c>
      <c r="O52" s="162">
        <f t="shared" si="12"/>
        <v>101.6195717540318</v>
      </c>
      <c r="P52" s="162">
        <v>18221.669999999998</v>
      </c>
      <c r="Q52" s="162">
        <f>P52/N52*100</f>
        <v>111.86035949926021</v>
      </c>
      <c r="R52" s="162">
        <v>16399.503000000001</v>
      </c>
      <c r="S52" s="162">
        <v>16399.503000000001</v>
      </c>
    </row>
    <row r="53" spans="1:19" s="149" customFormat="1" ht="45">
      <c r="A53" s="153">
        <v>34</v>
      </c>
      <c r="B53" s="156" t="s">
        <v>528</v>
      </c>
      <c r="C53" s="154" t="s">
        <v>529</v>
      </c>
      <c r="D53" s="155" t="s">
        <v>526</v>
      </c>
      <c r="E53" s="153" t="s">
        <v>527</v>
      </c>
      <c r="F53" s="158">
        <v>503897</v>
      </c>
      <c r="G53" s="158">
        <v>460656</v>
      </c>
      <c r="H53" s="159">
        <f t="shared" si="0"/>
        <v>91.418682786363078</v>
      </c>
      <c r="I53" s="158">
        <v>460656</v>
      </c>
      <c r="J53" s="159">
        <f t="shared" si="1"/>
        <v>100</v>
      </c>
      <c r="K53" s="158">
        <v>460656</v>
      </c>
      <c r="L53" s="158">
        <v>460656</v>
      </c>
      <c r="M53" s="162">
        <v>35771.9</v>
      </c>
      <c r="N53" s="162">
        <v>31278.542000000001</v>
      </c>
      <c r="O53" s="162">
        <f t="shared" si="12"/>
        <v>87.438861229065267</v>
      </c>
      <c r="P53" s="162">
        <v>34817.329999999994</v>
      </c>
      <c r="Q53" s="162">
        <f>P53/N53*100</f>
        <v>111.31378821941252</v>
      </c>
      <c r="R53" s="162">
        <v>31335.596999999998</v>
      </c>
      <c r="S53" s="162">
        <v>31335.596999999998</v>
      </c>
    </row>
    <row r="54" spans="1:19" s="149" customFormat="1" ht="96" customHeight="1">
      <c r="A54" s="153">
        <v>35</v>
      </c>
      <c r="B54" s="154" t="s">
        <v>530</v>
      </c>
      <c r="C54" s="154" t="s">
        <v>531</v>
      </c>
      <c r="D54" s="152" t="s">
        <v>532</v>
      </c>
      <c r="E54" s="152" t="s">
        <v>214</v>
      </c>
      <c r="F54" s="158">
        <v>928</v>
      </c>
      <c r="G54" s="158">
        <f>9+879+9+11</f>
        <v>908</v>
      </c>
      <c r="H54" s="159">
        <f t="shared" si="0"/>
        <v>97.84482758620689</v>
      </c>
      <c r="I54" s="158">
        <f>8+896+9+11</f>
        <v>924</v>
      </c>
      <c r="J54" s="159">
        <f t="shared" si="1"/>
        <v>101.76211453744493</v>
      </c>
      <c r="K54" s="158">
        <v>924</v>
      </c>
      <c r="L54" s="158">
        <v>924</v>
      </c>
      <c r="M54" s="162">
        <v>9101.8240000000005</v>
      </c>
      <c r="N54" s="162">
        <v>19036.5</v>
      </c>
      <c r="O54" s="162">
        <f t="shared" si="12"/>
        <v>209.15038568093601</v>
      </c>
      <c r="P54" s="162">
        <v>21433.43</v>
      </c>
      <c r="Q54" s="162">
        <f>P54/N54*100</f>
        <v>112.59123263204896</v>
      </c>
      <c r="R54" s="162">
        <v>19290.087</v>
      </c>
      <c r="S54" s="162">
        <v>19290.087</v>
      </c>
    </row>
    <row r="55" spans="1:19" s="149" customFormat="1" ht="87.75" customHeight="1">
      <c r="A55" s="153">
        <v>36</v>
      </c>
      <c r="B55" s="154" t="s">
        <v>530</v>
      </c>
      <c r="C55" s="154" t="s">
        <v>486</v>
      </c>
      <c r="D55" s="152" t="s">
        <v>533</v>
      </c>
      <c r="E55" s="152" t="s">
        <v>214</v>
      </c>
      <c r="F55" s="158">
        <f>24+28+16+12</f>
        <v>80</v>
      </c>
      <c r="G55" s="158">
        <f>24+27+13+12</f>
        <v>76</v>
      </c>
      <c r="H55" s="159">
        <f t="shared" si="0"/>
        <v>95</v>
      </c>
      <c r="I55" s="158">
        <v>76</v>
      </c>
      <c r="J55" s="159">
        <f t="shared" si="1"/>
        <v>100</v>
      </c>
      <c r="K55" s="158">
        <v>76</v>
      </c>
      <c r="L55" s="158">
        <v>76</v>
      </c>
      <c r="M55" s="162">
        <v>9602.89</v>
      </c>
      <c r="N55" s="162">
        <v>8992.9409999999989</v>
      </c>
      <c r="O55" s="162">
        <f t="shared" si="12"/>
        <v>93.648276716696742</v>
      </c>
      <c r="P55" s="162">
        <v>10133.398000000001</v>
      </c>
      <c r="Q55" s="162">
        <f>P55/N55*100</f>
        <v>112.68169111751097</v>
      </c>
      <c r="R55" s="162">
        <v>9120.0589999999993</v>
      </c>
      <c r="S55" s="162">
        <v>9120.0589999999993</v>
      </c>
    </row>
    <row r="56" spans="1:19" s="149" customFormat="1" ht="75">
      <c r="A56" s="329">
        <v>37</v>
      </c>
      <c r="B56" s="330" t="s">
        <v>530</v>
      </c>
      <c r="C56" s="330" t="s">
        <v>534</v>
      </c>
      <c r="D56" s="152" t="s">
        <v>535</v>
      </c>
      <c r="E56" s="152" t="s">
        <v>214</v>
      </c>
      <c r="F56" s="160">
        <v>377</v>
      </c>
      <c r="G56" s="160">
        <f>68+250</f>
        <v>318</v>
      </c>
      <c r="H56" s="159">
        <f t="shared" si="0"/>
        <v>84.350132625994704</v>
      </c>
      <c r="I56" s="160">
        <v>318</v>
      </c>
      <c r="J56" s="159">
        <f t="shared" si="1"/>
        <v>100</v>
      </c>
      <c r="K56" s="160">
        <v>318</v>
      </c>
      <c r="L56" s="160">
        <v>318</v>
      </c>
      <c r="M56" s="327">
        <v>25099.8</v>
      </c>
      <c r="N56" s="327">
        <v>26350.9</v>
      </c>
      <c r="O56" s="327">
        <f>N56/M56*100</f>
        <v>104.9845018685408</v>
      </c>
      <c r="P56" s="327">
        <v>29799.935000000001</v>
      </c>
      <c r="Q56" s="327">
        <f>P56/N56*100</f>
        <v>113.08886982987299</v>
      </c>
      <c r="R56" s="327">
        <v>26819.941999999999</v>
      </c>
      <c r="S56" s="327">
        <v>26819.941999999999</v>
      </c>
    </row>
    <row r="57" spans="1:19" s="149" customFormat="1" ht="75">
      <c r="A57" s="329"/>
      <c r="B57" s="330"/>
      <c r="C57" s="330"/>
      <c r="D57" s="152" t="s">
        <v>536</v>
      </c>
      <c r="E57" s="152" t="s">
        <v>182</v>
      </c>
      <c r="F57" s="158">
        <v>189117</v>
      </c>
      <c r="G57" s="158">
        <v>237000</v>
      </c>
      <c r="H57" s="159">
        <f t="shared" si="0"/>
        <v>125.31924681546344</v>
      </c>
      <c r="I57" s="158">
        <v>258500</v>
      </c>
      <c r="J57" s="159">
        <f t="shared" si="1"/>
        <v>109.0717299578059</v>
      </c>
      <c r="K57" s="158">
        <v>258500</v>
      </c>
      <c r="L57" s="158">
        <v>258500</v>
      </c>
      <c r="M57" s="327"/>
      <c r="N57" s="327"/>
      <c r="O57" s="327"/>
      <c r="P57" s="327"/>
      <c r="Q57" s="327"/>
      <c r="R57" s="327"/>
      <c r="S57" s="327"/>
    </row>
    <row r="58" spans="1:19" s="149" customFormat="1" ht="22.5" customHeight="1">
      <c r="A58" s="328" t="s">
        <v>263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163">
        <f>SUM(M10:M57)</f>
        <v>1011524.3631630001</v>
      </c>
      <c r="N58" s="163">
        <f t="shared" ref="N58:R58" si="13">SUM(N10:N57)</f>
        <v>1138073.4149999998</v>
      </c>
      <c r="O58" s="163">
        <f>N58/M58*100</f>
        <v>112.51072702206454</v>
      </c>
      <c r="P58" s="163">
        <f t="shared" si="13"/>
        <v>1194437.0560000001</v>
      </c>
      <c r="Q58" s="163">
        <f>P58/N58*100</f>
        <v>104.95254877735636</v>
      </c>
      <c r="R58" s="163">
        <f t="shared" si="13"/>
        <v>1075038.6210000003</v>
      </c>
      <c r="S58" s="163">
        <f>S10+S12+S13+S15+S16+S18+S19+S21+S22+S24+S25+S26+S28+S29+S30+S31+S32+S33+S34+S35+S36+S37+S38+S39+S40+S41+S42+S43+S44+S45+S47+S48+S49+S50+S51+S52+S53+S54+S55+S56</f>
        <v>1075038.6240000003</v>
      </c>
    </row>
  </sheetData>
  <mergeCells count="103">
    <mergeCell ref="H7:H8"/>
    <mergeCell ref="I7:I8"/>
    <mergeCell ref="J7:J8"/>
    <mergeCell ref="K7:K8"/>
    <mergeCell ref="L7:L8"/>
    <mergeCell ref="M7:S7"/>
    <mergeCell ref="A2:S2"/>
    <mergeCell ref="A6:A8"/>
    <mergeCell ref="B6:B8"/>
    <mergeCell ref="C6:C8"/>
    <mergeCell ref="D6:L6"/>
    <mergeCell ref="M6:S6"/>
    <mergeCell ref="D7:D8"/>
    <mergeCell ref="E7:E8"/>
    <mergeCell ref="F7:F8"/>
    <mergeCell ref="G7:G8"/>
    <mergeCell ref="P10:P11"/>
    <mergeCell ref="Q10:Q11"/>
    <mergeCell ref="R10:R11"/>
    <mergeCell ref="S10:S11"/>
    <mergeCell ref="A13:A14"/>
    <mergeCell ref="B13:B14"/>
    <mergeCell ref="C13:C14"/>
    <mergeCell ref="M13:M14"/>
    <mergeCell ref="N13:N14"/>
    <mergeCell ref="O13:O14"/>
    <mergeCell ref="A10:A11"/>
    <mergeCell ref="B10:B11"/>
    <mergeCell ref="C10:C11"/>
    <mergeCell ref="M10:M11"/>
    <mergeCell ref="N10:N11"/>
    <mergeCell ref="O10:O11"/>
    <mergeCell ref="P13:P14"/>
    <mergeCell ref="Q13:Q14"/>
    <mergeCell ref="R13:R14"/>
    <mergeCell ref="S13:S14"/>
    <mergeCell ref="S16:S17"/>
    <mergeCell ref="A19:A20"/>
    <mergeCell ref="B19:B20"/>
    <mergeCell ref="C19:C20"/>
    <mergeCell ref="M19:M20"/>
    <mergeCell ref="N19:N20"/>
    <mergeCell ref="O19:O20"/>
    <mergeCell ref="P19:P20"/>
    <mergeCell ref="Q19:Q20"/>
    <mergeCell ref="R19:R20"/>
    <mergeCell ref="S19:S20"/>
    <mergeCell ref="A16:A17"/>
    <mergeCell ref="B16:B17"/>
    <mergeCell ref="C16:C17"/>
    <mergeCell ref="M16:M17"/>
    <mergeCell ref="N16:N17"/>
    <mergeCell ref="O16:O17"/>
    <mergeCell ref="P16:P17"/>
    <mergeCell ref="Q16:Q17"/>
    <mergeCell ref="R16:R17"/>
    <mergeCell ref="P22:P23"/>
    <mergeCell ref="Q22:Q23"/>
    <mergeCell ref="R22:R23"/>
    <mergeCell ref="S22:S23"/>
    <mergeCell ref="A26:A27"/>
    <mergeCell ref="B26:B27"/>
    <mergeCell ref="C26:C27"/>
    <mergeCell ref="M26:M27"/>
    <mergeCell ref="N26:N27"/>
    <mergeCell ref="O26:O27"/>
    <mergeCell ref="A22:A23"/>
    <mergeCell ref="B22:B23"/>
    <mergeCell ref="C22:C23"/>
    <mergeCell ref="M22:M23"/>
    <mergeCell ref="N22:N23"/>
    <mergeCell ref="O22:O23"/>
    <mergeCell ref="Q26:Q27"/>
    <mergeCell ref="R26:R27"/>
    <mergeCell ref="S26:S27"/>
    <mergeCell ref="A41:A42"/>
    <mergeCell ref="B41:B42"/>
    <mergeCell ref="A43:A44"/>
    <mergeCell ref="B43:B44"/>
    <mergeCell ref="C43:C44"/>
    <mergeCell ref="A45:A46"/>
    <mergeCell ref="B45:B46"/>
    <mergeCell ref="C45:C46"/>
    <mergeCell ref="P26:P27"/>
    <mergeCell ref="A30:A31"/>
    <mergeCell ref="S56:S57"/>
    <mergeCell ref="A58:L58"/>
    <mergeCell ref="S45:S46"/>
    <mergeCell ref="A56:A57"/>
    <mergeCell ref="B56:B57"/>
    <mergeCell ref="C56:C57"/>
    <mergeCell ref="M56:M57"/>
    <mergeCell ref="N56:N57"/>
    <mergeCell ref="O56:O57"/>
    <mergeCell ref="P56:P57"/>
    <mergeCell ref="Q56:Q57"/>
    <mergeCell ref="R56:R57"/>
    <mergeCell ref="M45:M46"/>
    <mergeCell ref="N45:N46"/>
    <mergeCell ref="O45:O46"/>
    <mergeCell ref="P45:P46"/>
    <mergeCell ref="Q45:Q46"/>
    <mergeCell ref="R45:R46"/>
  </mergeCells>
  <pageMargins left="0.70866141732283472" right="0.31496062992125984" top="0.55118110236220474" bottom="0.55118110236220474" header="0.31496062992125984" footer="0.31496062992125984"/>
  <pageSetup paperSize="9" scale="51" orientation="landscape" r:id="rId1"/>
  <rowBreaks count="3" manualBreakCount="3">
    <brk id="24" max="18" man="1"/>
    <brk id="29" max="18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по финобеспеч</vt:lpstr>
      <vt:lpstr>УправДГ 806</vt:lpstr>
      <vt:lpstr>Минтранс 820</vt:lpstr>
      <vt:lpstr>Минстрой 832</vt:lpstr>
      <vt:lpstr>КГО 849</vt:lpstr>
      <vt:lpstr>Минприрод 853</vt:lpstr>
      <vt:lpstr>Минздрав 855</vt:lpstr>
      <vt:lpstr>Минсоц 856</vt:lpstr>
      <vt:lpstr>Минкульт 857</vt:lpstr>
      <vt:lpstr>Мингосимущ 866</vt:lpstr>
      <vt:lpstr>Минспорт 867</vt:lpstr>
      <vt:lpstr>ДИС 871</vt:lpstr>
      <vt:lpstr>Минобраз 874</vt:lpstr>
      <vt:lpstr>Комвет 881</vt:lpstr>
      <vt:lpstr>'Минкульт 857'!Заголовки_для_печати</vt:lpstr>
      <vt:lpstr>'Минспорт 867'!Заголовки_для_печати</vt:lpstr>
      <vt:lpstr>'ДИС 871'!Область_печати</vt:lpstr>
      <vt:lpstr>'КГО 849'!Область_печати</vt:lpstr>
      <vt:lpstr>'Комвет 881'!Область_печати</vt:lpstr>
      <vt:lpstr>'Мингосимущ 866'!Область_печати</vt:lpstr>
      <vt:lpstr>'Минкульт 857'!Область_печати</vt:lpstr>
      <vt:lpstr>'Минобраз 874'!Область_печати</vt:lpstr>
      <vt:lpstr>'Минприрод 853'!Область_печати</vt:lpstr>
      <vt:lpstr>'Минсоц 856'!Область_печати</vt:lpstr>
      <vt:lpstr>'Минспорт 867'!Область_печати</vt:lpstr>
      <vt:lpstr>'Минстрой 832'!Область_печати</vt:lpstr>
      <vt:lpstr>'Минтранс 820'!Область_печати</vt:lpstr>
      <vt:lpstr>'УправДГ 806'!Область_печати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MF-UstOL</cp:lastModifiedBy>
  <cp:lastPrinted>2022-10-13T08:31:08Z</cp:lastPrinted>
  <dcterms:created xsi:type="dcterms:W3CDTF">2022-10-12T12:32:48Z</dcterms:created>
  <dcterms:modified xsi:type="dcterms:W3CDTF">2022-10-24T11:49:10Z</dcterms:modified>
</cp:coreProperties>
</file>