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572" activeTab="1"/>
  </bookViews>
  <sheets>
    <sheet name="1 Доходы  " sheetId="1" r:id="rId1"/>
    <sheet name="2 Расходы " sheetId="2" r:id="rId2"/>
    <sheet name="3 Результаты" sheetId="3" r:id="rId3"/>
    <sheet name="4 Объемы работ" sheetId="4" r:id="rId4"/>
    <sheet name="5 расчет по нормативам" sheetId="5" r:id="rId5"/>
    <sheet name="6 программа-стройки" sheetId="6" r:id="rId6"/>
    <sheet name="7 программа кап ремонт" sheetId="7" r:id="rId7"/>
    <sheet name="8 графики работ" sheetId="8" r:id="rId8"/>
    <sheet name="9 крупные подрядчики" sheetId="9" r:id="rId9"/>
    <sheet name="10 крупные поставщики" sheetId="10" r:id="rId10"/>
    <sheet name="11 материалы" sheetId="11" r:id="rId11"/>
  </sheets>
  <definedNames>
    <definedName name="_xlnm.Print_Titles" localSheetId="0">'1 Доходы  '!$3:$5</definedName>
    <definedName name="_xlnm.Print_Titles" localSheetId="9">'10 крупные поставщики'!$3:$5</definedName>
    <definedName name="_xlnm.Print_Titles" localSheetId="10">'11 материалы'!$4:$5</definedName>
    <definedName name="_xlnm.Print_Titles" localSheetId="1">'2 Расходы '!$4:$7</definedName>
    <definedName name="_xlnm.Print_Titles" localSheetId="2">'3 Результаты'!$4:$5</definedName>
    <definedName name="_xlnm.Print_Titles" localSheetId="3">'4 Объемы работ'!$4:$6</definedName>
    <definedName name="_xlnm.Print_Titles" localSheetId="4">'5 расчет по нормативам'!$4:$5</definedName>
    <definedName name="_xlnm.Print_Titles" localSheetId="5">'6 программа-стройки'!$3:$5</definedName>
    <definedName name="_xlnm.Print_Titles" localSheetId="6">'7 программа кап ремонт'!$3:$5</definedName>
    <definedName name="_xlnm.Print_Titles" localSheetId="7">'8 графики работ'!$3:$4</definedName>
    <definedName name="_xlnm.Print_Titles" localSheetId="8">'9 крупные подрядчики'!$3:$4</definedName>
    <definedName name="_xlnm.Print_Area" localSheetId="0">'1 Доходы  '!$A$1:$F$16</definedName>
    <definedName name="_xlnm.Print_Area" localSheetId="9">'10 крупные поставщики'!$A$1:$J$2789</definedName>
    <definedName name="_xlnm.Print_Area" localSheetId="1">'2 Расходы '!$A$1:$F$32</definedName>
    <definedName name="_xlnm.Print_Area" localSheetId="2">'3 Результаты'!$A$1:$D$16</definedName>
    <definedName name="_xlnm.Print_Area" localSheetId="3">'4 Объемы работ'!$A$1:$G$25</definedName>
    <definedName name="_xlnm.Print_Area" localSheetId="4">'5 расчет по нормативам'!$A$1:$D$18</definedName>
    <definedName name="_xlnm.Print_Area" localSheetId="5">'6 программа-стройки'!$A$1:$S$3625</definedName>
    <definedName name="_xlnm.Print_Area" localSheetId="6">'7 программа кап ремонт'!$A$1:$Q$2908</definedName>
    <definedName name="_xlnm.Print_Area" localSheetId="7">'8 графики работ'!$A$1:$G$2885</definedName>
    <definedName name="_xlnm.Print_Area" localSheetId="8">'9 крупные подрядчики'!$A$1:$J$3153</definedName>
  </definedNames>
  <calcPr fullCalcOnLoad="1"/>
</workbook>
</file>

<file path=xl/sharedStrings.xml><?xml version="1.0" encoding="utf-8"?>
<sst xmlns="http://schemas.openxmlformats.org/spreadsheetml/2006/main" count="524" uniqueCount="345">
  <si>
    <t>Форма № 1</t>
  </si>
  <si>
    <t>2017 год</t>
  </si>
  <si>
    <t>Наименование источников формирования дорожного фонда</t>
  </si>
  <si>
    <t>Объем, млн рублей</t>
  </si>
  <si>
    <t>план</t>
  </si>
  <si>
    <t>факт с начала года</t>
  </si>
  <si>
    <t>Форма № 2</t>
  </si>
  <si>
    <t>Наименование направлений расходования ассигнований дорожного фонда субъекта Российской Федерации</t>
  </si>
  <si>
    <t>Строка</t>
  </si>
  <si>
    <t>капитальный ремонт автомобильных дорог общего пользования регионального значения и искусственных сооружений на них</t>
  </si>
  <si>
    <t>ремонт автомобильных дорог общего пользования регионального значения и искусственных сооружений на них</t>
  </si>
  <si>
    <t>содержание автомобильных дорог общего пользования регионального значения и искусственных сооружений на них</t>
  </si>
  <si>
    <t>другие дорожно-эксплуатационные расходы на автомобильных дорогах регионального значения</t>
  </si>
  <si>
    <t>строительство и реконструкция автомобильных дорог общего пользования регионального значения и искусственных сооружений на них (сумма строк 10, 11), из них:</t>
  </si>
  <si>
    <t>строительство, реконструкция объектов</t>
  </si>
  <si>
    <t>выполнение научно-исследовательских и опытно-конструкторских работ в области дорожного хозяйства</t>
  </si>
  <si>
    <t>обеспечение транспортной безопасности объектов автомобильного транспорта и дорожного хозяйства</t>
  </si>
  <si>
    <t>содержание подведомственных государственных учреждений, осуществляющих управление дорожным хозяйством</t>
  </si>
  <si>
    <t>погашение задолженности по бюджетным кредитам, полученным субъектом Российской Федерации из федерального бюджета на строительство, реконструкцию, капитальный ремонт, ремонт и содержание автомобильных дорог общего пользования (за исключением автомобильных дорог федерального значения) и на осуществление расходов по обслуживанию долговых обязательств, связанных с использованием указанных кредитов</t>
  </si>
  <si>
    <t>капитальный ремонт и ремонт автомобильных дорог общего пользования населенных пунктов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</si>
  <si>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</si>
  <si>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73+800</t>
  </si>
  <si>
    <t>72+500</t>
  </si>
  <si>
    <t>Устройство искусственного электроосвещения и тротуаров на автомобильной дороге Йошкар - Ола - Уржум  (н.п. Токтайбеляк)</t>
  </si>
  <si>
    <t xml:space="preserve"> 2+438   25+842    39+692                                                           2+225</t>
  </si>
  <si>
    <t>Помары-Коркатово  2+438     25+842    39+692   Приволжский-Эмеково 2+225</t>
  </si>
  <si>
    <t>Устройство искусственного электроосвещения  переходных переходов на автомобильных дорогах республиканского значения (I этап -устройство искусственного электроосвещения)</t>
  </si>
  <si>
    <t>Подпись руководителя органа исполнительной власти субъекта Российской Федерации, определенного ответственным за представление данной формы:</t>
  </si>
  <si>
    <t>Форма № 3</t>
  </si>
  <si>
    <t>Наименование показателей</t>
  </si>
  <si>
    <t>Единица измерения</t>
  </si>
  <si>
    <t>Прирост (снижение) протяженности автомобильных дорог регионального значения, соответствующих нормативным требованиям к транспортно-эксплуатационным показателям (+\-)</t>
  </si>
  <si>
    <t>км</t>
  </si>
  <si>
    <t>50+038</t>
  </si>
  <si>
    <t>Прирост (снижение) доли протяженности автомобильных дорог регионального значения, соответствующих нормативным требованиям к транспортно-эксплуатационным показателям (+\-)</t>
  </si>
  <si>
    <t>%</t>
  </si>
  <si>
    <t>Мост через реку Большой Кундыш на автомобильной дороге Йошкар - Ола - Козьмодемъянск</t>
  </si>
  <si>
    <t>Прирост протяженности автомобильных дорог регионального значения, обслуживающих движение в режиме перегрузки (+\-)</t>
  </si>
  <si>
    <t>07.2018</t>
  </si>
  <si>
    <t>Прирост (снижение) доли протяженности автомобильных дорог регионального значения, обслуживающих движение в режиме перегрузки (+\-)</t>
  </si>
  <si>
    <t>0+150</t>
  </si>
  <si>
    <t>Прирост (снижение) протяженности автомобильных дорог регионального значения, обеспечивающих пропуск транспортных средств с нагрузкой на наиболее загруженную ось 10 тонн (+\-)</t>
  </si>
  <si>
    <t>Восстановление съезда в д. Морки - Орша с автомобильной дороги Вятское - орша - Кордемтюр</t>
  </si>
  <si>
    <t>Прирост (снижение) протяженности автомобильных дорог регионального значения, обеспечивающих пропуск транспортных средств с нагрузкой на наиболее загруженную ось 11,5 тонн (+\-)</t>
  </si>
  <si>
    <t>Капитальный ремонт</t>
  </si>
  <si>
    <t>Прирост количества сельских населенных пунктов, обеспеченных круглогодичной связью с сетью автомобильных дорог общего пользования по дорогам с твердым покрытием за счет субсидий из дорожного фонда субъекта Российской Федерации</t>
  </si>
  <si>
    <t>шт.</t>
  </si>
  <si>
    <t>50+134</t>
  </si>
  <si>
    <t>Прирост количества постоянного населения сельских населенных пунктов, обеспеченного круглогодичной связью с сетью автомобильных дорог общего пользования по дорогам с твердым покрытием за счет субсидий из дорожного фонда субъекта Российской Федерации</t>
  </si>
  <si>
    <t>тыс. чел.</t>
  </si>
  <si>
    <t>Водопропускная труба на автомобильной дороге Йошкар - Ола - Уржум</t>
  </si>
  <si>
    <r>
      <t xml:space="preserve">Количество сельских населенных пунктов, в которых осуществлен капитальный ремонт и </t>
    </r>
    <r>
      <rPr>
        <b/>
        <sz val="14"/>
        <rFont val="Times New Roman"/>
        <family val="1"/>
      </rPr>
      <t>ремонт</t>
    </r>
    <r>
      <rPr>
        <sz val="14"/>
        <rFont val="Times New Roman"/>
        <family val="1"/>
      </rPr>
      <t xml:space="preserve"> автомобильных дорог общего пользования</t>
    </r>
  </si>
  <si>
    <t>19+728</t>
  </si>
  <si>
    <t>Количество дворовых территорий многоквартирных домов в населенных пунктах, на которых осуществлен капитальный ремонт и ремонт</t>
  </si>
  <si>
    <t>Водопропускная труба на автомобильной дороге  Помары - Коркатово</t>
  </si>
  <si>
    <t>Количество дворовых территорий многоквартирных домов в населенных пунктах, к которым осуществлен капитальный ремонт и ремонт проездов</t>
  </si>
  <si>
    <t>6+655</t>
  </si>
  <si>
    <t>Форма № 4</t>
  </si>
  <si>
    <t>Величина показателя</t>
  </si>
  <si>
    <t>Протяженность участков автомобильных дорог регионального значения, находящихся в строительстве и реконструкции</t>
  </si>
  <si>
    <t xml:space="preserve">Автомобильноая дорога Куженер - Токтайбеляк </t>
  </si>
  <si>
    <t>0+500</t>
  </si>
  <si>
    <t>Автомобильная дорога пгт. Морки – 1</t>
  </si>
  <si>
    <t>4+500</t>
  </si>
  <si>
    <t>Протяженность участков ввода в эксплуатацию после строительства и реконструкции автомобильных дорог регионального значения в текущем году</t>
  </si>
  <si>
    <t>3+500</t>
  </si>
  <si>
    <t>Автомобильная дорога Юбилейный - Азаново - Яндушево</t>
  </si>
  <si>
    <t>3+200</t>
  </si>
  <si>
    <t>1+860</t>
  </si>
  <si>
    <t>Протяженность участков ввода в эксплуатацию после строительства и реконструкции автомобильных дорог регионального значения в текущем году, в однополосном исчислении</t>
  </si>
  <si>
    <t>Автомобильная дорога Чодраял – Новые Карамасы</t>
  </si>
  <si>
    <t>1+175           2+220</t>
  </si>
  <si>
    <t>0+372         1+260</t>
  </si>
  <si>
    <t xml:space="preserve">Автомобильная дорога Суслонгер-Мочалище- Филлипсола </t>
  </si>
  <si>
    <t>Протяженность автозимников, находящихся в строительстве и реконструкции</t>
  </si>
  <si>
    <t>08.2018</t>
  </si>
  <si>
    <t>Строительство</t>
  </si>
  <si>
    <t>0+66,5</t>
  </si>
  <si>
    <t>0+00</t>
  </si>
  <si>
    <t>Количество искусственных сооружений на автомобильных дорогах регионального значения, находящихся в строительстве и реконструкции</t>
  </si>
  <si>
    <t>штук</t>
  </si>
  <si>
    <t xml:space="preserve">Автомобильная дорога Сидельниково - Иванбеляк </t>
  </si>
  <si>
    <t>18+115   18+567</t>
  </si>
  <si>
    <t>18+011      18+171</t>
  </si>
  <si>
    <t>Автомобильная дорога Сернур - Казанское - Кукнур</t>
  </si>
  <si>
    <t>Количество искусственных сооружений на автомобильных дорогах регионального значения, подлежащих вводу (введенных) в эксплуатацию после строительства и реконструкции в текущем году</t>
  </si>
  <si>
    <t>3+836</t>
  </si>
  <si>
    <t xml:space="preserve">1+050 </t>
  </si>
  <si>
    <t>Автомобильная дорога Руэм - Йошкар-Ола</t>
  </si>
  <si>
    <t>Автомобильная дорога Подъезд к с. Красногорка</t>
  </si>
  <si>
    <t>Длина искусственных сооружений на автомобильных дорогах регионального значения, подлежащих вводу (введенных) в эксплуатацию после строительства и реконструкции в текущем году</t>
  </si>
  <si>
    <t>пог.м</t>
  </si>
  <si>
    <t>0+850</t>
  </si>
  <si>
    <t>Автомобильная дорога Петьял– Большая Сосновка</t>
  </si>
  <si>
    <t>04.2017</t>
  </si>
  <si>
    <t>Реконструкция</t>
  </si>
  <si>
    <t>в том числе длина тоннелей на автомобильных дорогах регионального значения, подлежащих вводу (введенных) в эксплуатацию после строительства и реконструкции в текущем году</t>
  </si>
  <si>
    <t>4+879</t>
  </si>
  <si>
    <t>3+772</t>
  </si>
  <si>
    <t>Автомобильная дорога Одобеляк-Куженер-Параньга на участке км 0+000 - км 6+632                              (объемы работ 2017 года)</t>
  </si>
  <si>
    <t>9+477</t>
  </si>
  <si>
    <t>Количество пешеходных переходов в разных уровнях на автомобильных дорогах регионального значения, подлежащих вводу (введенных) в эксплуатацию в текущем году</t>
  </si>
  <si>
    <t>шт</t>
  </si>
  <si>
    <t>4+653</t>
  </si>
  <si>
    <t>Автомобильная дорога Новый - Торъял - Масканур</t>
  </si>
  <si>
    <t>05.2017</t>
  </si>
  <si>
    <t>36+122</t>
  </si>
  <si>
    <t>Протяженность линий искусственного электрического освещения на автомобильных дорогах регионального значения, подлежащих вводу (введенных) в эксплуатацию после строительства и реконструкции в текущем году</t>
  </si>
  <si>
    <t>27+246</t>
  </si>
  <si>
    <t>Автомобильная дорога Морки - Уньжинский</t>
  </si>
  <si>
    <t>1+178</t>
  </si>
  <si>
    <t>0+877</t>
  </si>
  <si>
    <t>Протяженность построенных и реконструированных ограждений барьерных на автомобильных дорогах регионального значения в текущем году</t>
  </si>
  <si>
    <t xml:space="preserve">Автомобильная дорога Мари-Билямор - Сенда </t>
  </si>
  <si>
    <t>07.2017 </t>
  </si>
  <si>
    <t>1+000</t>
  </si>
  <si>
    <t>Автомобильная дорога Малая Речка – Средняя Турша – Головино</t>
  </si>
  <si>
    <t>Площадь земельных участков, отведенная для строительства и реконструкции автомобильных дорог в текущем году</t>
  </si>
  <si>
    <t>га</t>
  </si>
  <si>
    <t>6+300</t>
  </si>
  <si>
    <t xml:space="preserve">5+300 </t>
  </si>
  <si>
    <t>Автомобильная дорога Кузнецово - Русский Кукмор - Сурты</t>
  </si>
  <si>
    <t>8+000</t>
  </si>
  <si>
    <t>Протяженность участков автомобильных дорог регионального значения, подлежащих вводу (введенных) в эксплуатацию после капитального ремонта и ремонта в текущем году</t>
  </si>
  <si>
    <t>5+000</t>
  </si>
  <si>
    <t>Автомобильная дорога Кокшайск - Красногорский</t>
  </si>
  <si>
    <t>21+110</t>
  </si>
  <si>
    <t>20+000</t>
  </si>
  <si>
    <t>Протяженность участков автомобильных дорог регионального значения, подлежащих вводу (введенных) в эксплуатацию после капитального ремонта и ремонта в текущем году, в однополосном исчислении</t>
  </si>
  <si>
    <t>Автомобильная дорога Козьмодемъянск - Большой Сундырь</t>
  </si>
  <si>
    <t>49+164</t>
  </si>
  <si>
    <t>48+287,6</t>
  </si>
  <si>
    <t>10.2017</t>
  </si>
  <si>
    <t>Длина искусственных сооружений на автомобильных дорогах регионального значения, подлежащих вводу (введенных) в эксплуатацию после капитального ремонта и ремонта в текущем году</t>
  </si>
  <si>
    <t>52+000</t>
  </si>
  <si>
    <t>49+711</t>
  </si>
  <si>
    <t>12.2017</t>
  </si>
  <si>
    <t>Разработка ПСД по объекту - Строительство автомобильной дороги  Подъезд к д.Энерсола Советского района</t>
  </si>
  <si>
    <t>Протяженность подлежащих вводу (введенных) в эксплуатацию после строительства или реконструкции автомобильных дорог общего пользования с твердым покрытием, направленных на прирост количества сельских населенных пунктов, обеспеченных круглогодичной связью с сетью автомобильных дорог общего пользования</t>
  </si>
  <si>
    <t>Разработка ПСД по объекту - Строительство автомобильной дороги  Илеть - Бирюки Параньгинского района</t>
  </si>
  <si>
    <t>Разработка ПСД по объекту - Строительство автомобильной дороги  Шунсола - Нижняя Мушка Сернурского района</t>
  </si>
  <si>
    <t>Разработка ПСД по объекту - Строительство автомобильной дороги  Мари-Билямор - Ашлань - Билямор Мари-Турекского района</t>
  </si>
  <si>
    <t>Разработка ПСД по объекту - Строительство автомобильной дороги Миняшкино - Юнготы Горномарийского района</t>
  </si>
  <si>
    <t>Площадь покрытия автомобильных дорог общего пользования населенных пунктов, подлежащих вводу (введенных) в эксплуатацию после капитального ремонта и ремонта в текущем году</t>
  </si>
  <si>
    <t>кв.м</t>
  </si>
  <si>
    <t>Разработка ПСД по объекту - Строительство автомобильной дороги Верхнее Махматово - Пактеково Новоторъяльского района</t>
  </si>
  <si>
    <t>ПИР-17</t>
  </si>
  <si>
    <t>Разработка ПСД по объекту - Строительство автомобильной дороги Подъезд к д.Лужала Сернурского района</t>
  </si>
  <si>
    <t>0,0655</t>
  </si>
  <si>
    <t>Площадь покрытия дворовых территорий многоквартирных домов населенных пунктов и проездов общего пользования к ним, подлежащих вводу (введенных) в эксплуатацию после капитального ремонта и ремонта в текущем году</t>
  </si>
  <si>
    <t>Строительство автомобильной дороги Сидельниково - Иванбеляк Звениговского района</t>
  </si>
  <si>
    <t>85,1</t>
  </si>
  <si>
    <t>Реконструкция моста через реку Малый Кундыш на автомобильной дороге Куяр - Солнечный - Ронга км 22+094</t>
  </si>
  <si>
    <t>Информация о потребности на текущий год (2017) в затратах на выполнение капитального ремонта, ремонта и содержания автомобильных дорог регионального или межмуниципального значения в соответствии с утвержденными нормативами затрат</t>
  </si>
  <si>
    <t>Форма № 5</t>
  </si>
  <si>
    <t>Наименование направлений расходования</t>
  </si>
  <si>
    <t>Норматив затрат в ценах текущего  года (2017), тыс рублей</t>
  </si>
  <si>
    <t>капитальный ремонт автомобильных дорог общего пользования регионального значения</t>
  </si>
  <si>
    <t>1,107</t>
  </si>
  <si>
    <t>ремонт автомобильных дорог общего пользования регионального значения</t>
  </si>
  <si>
    <t>0,192</t>
  </si>
  <si>
    <t>содержание автомобильных дорог общего пользования регионального значения</t>
  </si>
  <si>
    <t>0,455</t>
  </si>
  <si>
    <t>Справочно:</t>
  </si>
  <si>
    <t>Информация о дорожной сети и нормативах затрат субъекта Российской Федерации:</t>
  </si>
  <si>
    <t>Протяженность дорог, км</t>
  </si>
  <si>
    <t>I категории</t>
  </si>
  <si>
    <t>II категории</t>
  </si>
  <si>
    <t>III категории</t>
  </si>
  <si>
    <t>IV категории</t>
  </si>
  <si>
    <t>V категории</t>
  </si>
  <si>
    <t>Форма № 6</t>
  </si>
  <si>
    <t>Перечень автомобильных дорог регионального значения, на которых в рамках региональных адресных инвестиционных программ осуществляется проектирование, строительство и реконструкция</t>
  </si>
  <si>
    <t>№№ п/п</t>
  </si>
  <si>
    <t>Наименование автомобильной дороги, объекта, участок дороги</t>
  </si>
  <si>
    <t>Мощность</t>
  </si>
  <si>
    <t>Категория дороги</t>
  </si>
  <si>
    <t>Число полос движения, шт</t>
  </si>
  <si>
    <t>Срок ввода в действие</t>
  </si>
  <si>
    <t>Сметная стоимость объекта в ценах года утверждения ПСД, млн рублей</t>
  </si>
  <si>
    <t>67+041</t>
  </si>
  <si>
    <t>3+340               9+000</t>
  </si>
  <si>
    <t>Автомобильная дорога Звенигово - Помары</t>
  </si>
  <si>
    <t>64+005   67+720</t>
  </si>
  <si>
    <t>Автомобильная дорога Йошкар - Ола - Козьмодемъянск</t>
  </si>
  <si>
    <t>06.2018</t>
  </si>
  <si>
    <t>Автомобильная дорога  Йошкар - Ола - Санчурск</t>
  </si>
  <si>
    <t>ремонт</t>
  </si>
  <si>
    <t>61+000</t>
  </si>
  <si>
    <t>0+700</t>
  </si>
  <si>
    <t>0+000</t>
  </si>
  <si>
    <t>Информация о графиках реализации в 2017 году проектов и мероприятий на автомобильных дорогах регионального значения</t>
  </si>
  <si>
    <t>Форма № 7</t>
  </si>
  <si>
    <t>№ п/п</t>
  </si>
  <si>
    <t>Автомобильная дорога, участок км…км</t>
  </si>
  <si>
    <t>Техническая категория</t>
  </si>
  <si>
    <t>Интенсивность движения авт/сутки</t>
  </si>
  <si>
    <t xml:space="preserve">Сроки производства работ </t>
  </si>
  <si>
    <t>Мощность объекта</t>
  </si>
  <si>
    <t>1</t>
  </si>
  <si>
    <t>Сметная стоимость объекта в ценах соответствующих лет, млн рублей</t>
  </si>
  <si>
    <t>Подлежит выполнению до конца капитального ремонта, в ценах соответствующих лет тыс. руб</t>
  </si>
  <si>
    <t>Объем финансирования, млн рублей</t>
  </si>
  <si>
    <t>начало</t>
  </si>
  <si>
    <t>конец</t>
  </si>
  <si>
    <t>из них искусст-венные сооруже-ния, пог. м</t>
  </si>
  <si>
    <t>из них искусственные сооружения, пог. м</t>
  </si>
  <si>
    <t>64+364   68+361</t>
  </si>
  <si>
    <t>Автомобильная дорога Звенигово - Шелангер - Морки</t>
  </si>
  <si>
    <t>11.2017</t>
  </si>
  <si>
    <t>4+200             10+000</t>
  </si>
  <si>
    <t>21+020</t>
  </si>
  <si>
    <t>19+760</t>
  </si>
  <si>
    <t>09.2017</t>
  </si>
  <si>
    <t>08.2017</t>
  </si>
  <si>
    <t>Ремонт</t>
  </si>
  <si>
    <t>Форма № 8</t>
  </si>
  <si>
    <t>Автомобильная дорога  Елеево - Параньга</t>
  </si>
  <si>
    <t>Наименование автомобильной дороги</t>
  </si>
  <si>
    <t>Адрес участка работ</t>
  </si>
  <si>
    <t>Вид и характер работ (строительство, реконструкция, капитальный ремонт, ремонт)</t>
  </si>
  <si>
    <t>Ориентировочные сроки работ</t>
  </si>
  <si>
    <t>Примечание (доп. условия по увязке с другими дорогами)</t>
  </si>
  <si>
    <t>Начало участка км +</t>
  </si>
  <si>
    <t>Конец участка км +</t>
  </si>
  <si>
    <t>Начало (месяц, год)</t>
  </si>
  <si>
    <t>Окончание (месяц, год)</t>
  </si>
  <si>
    <t>Объем работ, выполняемых в 2017 году по направлениям, млн рублей</t>
  </si>
  <si>
    <t>Форма № 9</t>
  </si>
  <si>
    <t>Информация о генеральных подрядных организациях, выполняющих в субъекте Российской Федерации работы по строительству, реконструкции, капитальному ремонту, ремонту и содержанию дорог и искусственных сооружений на них в объеме, составляющем 10 % и более годового объема финансирования соответствующего вида работ</t>
  </si>
  <si>
    <t>Наименование подрядной организации, ее организационная форма (ОАО, ООО, ГУП и т.д.)</t>
  </si>
  <si>
    <t>АО "Марий Эл Дорстрой"</t>
  </si>
  <si>
    <t>строительство и реконструкция дорог</t>
  </si>
  <si>
    <t>строительство и реконструкция искусственных сооружений</t>
  </si>
  <si>
    <t>капитальный ремонт дорог</t>
  </si>
  <si>
    <t>капитальный ремонт искусственных сооружений</t>
  </si>
  <si>
    <t>ремонт дорог</t>
  </si>
  <si>
    <t>ремонт искусственных сооружений</t>
  </si>
  <si>
    <t>содержание дорог</t>
  </si>
  <si>
    <t>содержание искусственных сооружений</t>
  </si>
  <si>
    <t>ООО "СтройСистема"</t>
  </si>
  <si>
    <t>ООО "Памашьяльский карьер"</t>
  </si>
  <si>
    <t>ООО "Компания Чукшинский карьер"</t>
  </si>
  <si>
    <t>Илетский каръер АО "Марий Эл Дорстрой"</t>
  </si>
  <si>
    <t>Опаринский каръер АО "Марий Эл Дорстрой"</t>
  </si>
  <si>
    <t>ООО "Новоторъяльский карьер"</t>
  </si>
  <si>
    <t>ООО "СтройТехРесурс"</t>
  </si>
  <si>
    <t>Объем работ, выполняемых в 2017 году по видам материалов</t>
  </si>
  <si>
    <t>Форма № 10</t>
  </si>
  <si>
    <t>Информация о поставщиках основных инертных строительных материалов, используемых при строительстве, реконструкции, капитальном ремонте, ремонте и содержании дорог и искусственных сооружений на них, осуществляющих поставки в объеме, составляющем 10 % и более годовой потребности субъекта Российской Федерации в данном материале</t>
  </si>
  <si>
    <t>ООО "Чукшинский карьер"</t>
  </si>
  <si>
    <t>щебень гранитный</t>
  </si>
  <si>
    <t>щебень известняковый</t>
  </si>
  <si>
    <t>песчано-гравийная смесь</t>
  </si>
  <si>
    <t>песок</t>
  </si>
  <si>
    <t>тыс куб м</t>
  </si>
  <si>
    <t>млн рублей</t>
  </si>
  <si>
    <t>Песок</t>
  </si>
  <si>
    <t>Песчано-гравийная смесь</t>
  </si>
  <si>
    <t>Щебень известняковый</t>
  </si>
  <si>
    <t>Щебень гранитный</t>
  </si>
  <si>
    <t>Металл</t>
  </si>
  <si>
    <t>Цемент</t>
  </si>
  <si>
    <t>Битум</t>
  </si>
  <si>
    <t>Форма № 11</t>
  </si>
  <si>
    <t>Информация о потребности субъекта Российской Федерации в материалах  для строительства, реконструкции, капитального ремонта, ремонта и содержания автомобильных дорог регионального значения и искусственных сооружений на них</t>
  </si>
  <si>
    <t>Наименование материала</t>
  </si>
  <si>
    <t>Ориентировочный объем</t>
  </si>
  <si>
    <t>Примечание: ориентировочная потребность в материалах в таблице приводится из расчета реализации долгосрочных целевых программ, финансируемых за счет дорожного фонда субъекта Российской Федерации, с учетом объемов финансирования строительства, реконструкции, капитального ремонта, ремонта и содержания автомобильных дорог регионального значения и искусственных сооружений на них, предусмотренных законом о бюджете субъекта Российской Федерации</t>
  </si>
  <si>
    <t>акцизы на автомобильный бензин, прямогонный бензин, дизельное топливо, моторные масла для дизельных и (или) карбюраторных (инжекторных) двигателей, производимые на территории Российской Федерации</t>
  </si>
  <si>
    <t>доходы консолидированного бюджета субъекта Российской Федерации от транспортного налога</t>
  </si>
  <si>
    <t>межбюджетные трансферты из федерального бюджета на софинансирование автомобильных дорог общего пользования регионального, межмуниципального и местного значения</t>
  </si>
  <si>
    <t>прочие доходы бюджета субъекта Российской Федерации, учитываемые при формировании регионального дорожного фонда в соответствии с законом о дорожном фонде</t>
  </si>
  <si>
    <t>корректировка объема дорожного фонда (сумма строк 7, 8, 9, 10):</t>
  </si>
  <si>
    <t>не использованные бюджетные ассигнования регионального дорожного фонда в отчетном финансовом году (без учета межбюджетных трансфертов)</t>
  </si>
  <si>
    <t>разница между фактически поступившим и прогнозировавшимся объемом доходов в отчетном финансовом году</t>
  </si>
  <si>
    <t>разница между фактически поступившим и прогнозировавшимся объемом доходов в году, предшествующем отчетному финансовому году</t>
  </si>
  <si>
    <t>межбюджетные трансферты из федерального бюджета (подтвержденные остатки прошлых лет)</t>
  </si>
  <si>
    <t xml:space="preserve">дополнительное увеличение объемов дорожного фонда за счет доходов регионального бюджета сверх доходов, формирующих дорожный фонд в соответствии с законом, предусматривающим создание дорожного фонда </t>
  </si>
  <si>
    <t>Величина показателя за текущий год (2017)</t>
  </si>
  <si>
    <t>за счет межбюджетных трансфертов из федерального бюджета</t>
  </si>
  <si>
    <t>Объемы финансирования из дорожного фонда субъекта Российской Федерации по основным направлениям расходования (сумма строк 4, 9, 12, 13, 14, 15, 16, 17, 22), в том числе:</t>
  </si>
  <si>
    <t>капитальный ремонт, ремонт и содержание автомобильных дорог общего пользования регионального или межмуниципального значения и искусственных сооружений на них (сумма строк 5, 6, 7, 8), из них:</t>
  </si>
  <si>
    <t>проведение инженерных изысканий, разработка документации по планировке территории, проектной документации,  проведение государственной экспертизы проектной документации и результатов инженерных изысканий</t>
  </si>
  <si>
    <t>Предоставление кредитов бюджетам муниципальных образований на строительство, реконструкцию, капитальный ремонт, ремонт и содержание автомобильных дорог общего пользования местного значения</t>
  </si>
  <si>
    <t xml:space="preserve">предоставление межбюджетных трансфертов из бюджета субъекта Российской Федерации бюджетам муниципальных образований (сумма строк 18, 19, 20, 21), из них на: </t>
  </si>
  <si>
    <t>проектирование и строительство (реконструкцию) автомобильных дорог общего пользования муниципального значения с твердым покрытием,  к сельским населенным пунктам, не имеющим круглогодичной связи с  сетью автомобильных дорог общего пользования, а также их капитальный ремонт и ремонт (в том числе в виде субсидий местным бюджетам на указанную дорожную деятельность в отношении автомобильных дорог общего пользования местного значения)</t>
  </si>
  <si>
    <t xml:space="preserve"> межбюджетные трансферты из бюджета субъекта Российской Федерации бюджетам муниципальных образований по другим направлениям</t>
  </si>
  <si>
    <t>осуществление иных мероприятий в отношении автомобильных дорог общего пользования, финансируемых за счет средств дорожного фонда субъекта Российской Федерации, в том числе:</t>
  </si>
  <si>
    <t xml:space="preserve">уплата налога на имущество организаций -  в отношении автомобильных дорог  общего пользования регионального или межмуниципального значения и сооружений, являющихся их неотъемлемой технологической частью </t>
  </si>
  <si>
    <t>Мост через реку Толмань на автомобильной дороге Шишнур – Кремленки – Яснур</t>
  </si>
  <si>
    <t>Мост через реку Малый Кундыш на автомобильной дороге Куяр-Солнечный-Ронга</t>
  </si>
  <si>
    <t xml:space="preserve">Потребность на 2017 год в затратах на выполнение капитального ремонта, ремонта и содержания автомобильных дорог регионального значения в соответствии с утвержденными нормативами затрат (сумма строк 2, 3, 4), в том числе </t>
  </si>
  <si>
    <t>III</t>
  </si>
  <si>
    <t>Норматив затрат в расчете на 1 км протяженности сети автомобильных дорог регионального или межмуниципального значения в субъекте Российской Федерации, тыс. рублей</t>
  </si>
  <si>
    <t>Объем в расчете на 1 км протяженности сети автомобильных дорог регионального или межмуниципального значения в субъекте Российской Федерации, тыс. рублей</t>
  </si>
  <si>
    <t>Реконструкция автомобильной дороги Одобеляк - Куженер - Параньга км 0+000 - км 6+632</t>
  </si>
  <si>
    <t>Строительство автомобильной дороги Подъезд к д.Куэръял Моркинского района</t>
  </si>
  <si>
    <t>Строительство автомобильной дороги Подъезд к д.Кутюк-Кинер Моркинского района Республики Марий Эл</t>
  </si>
  <si>
    <t>Протяженность автомобильных дорог регионального или межмуниципального значения с твердым покрытием по состоянию на начало текущего года, в том числе:</t>
  </si>
  <si>
    <t>1,714</t>
  </si>
  <si>
    <t>Строительство автомобильной дороги Шарембал - Полаткино  Волжского района</t>
  </si>
  <si>
    <t>1,955</t>
  </si>
  <si>
    <t>Строительство автомобильной дороги Подъезд к д.Яштародо Советского района</t>
  </si>
  <si>
    <t>IY,V</t>
  </si>
  <si>
    <t>V</t>
  </si>
  <si>
    <t>IY</t>
  </si>
  <si>
    <t>1,617</t>
  </si>
  <si>
    <t>Строительство автомобильной дороги Большая Коклала- Пунчерюмал с подъездами к д.Нурсола и д.Тумерсола Сернурского района Примечание: Кредиторская задолженность бюджета муниципального образования в сумме 123,079 тыс.рублей</t>
  </si>
  <si>
    <t>2,2905</t>
  </si>
  <si>
    <t>1,358</t>
  </si>
  <si>
    <t>4,506</t>
  </si>
  <si>
    <t>Строительство автомобильной дороги Олоры - Сидорово Параньгинского района</t>
  </si>
  <si>
    <t>Строительство автомобильной дороги Подъезд к д.Ведерники Мари-Турекского района</t>
  </si>
  <si>
    <t>Запланированный объем финансирования на текущий  год (2017)</t>
  </si>
  <si>
    <t>Единица измерения (км, пог.м, м2)</t>
  </si>
  <si>
    <t>62+539</t>
  </si>
  <si>
    <t>Сметная стоимость объекта в ценах года утверждения ПСД, тыс. рублей</t>
  </si>
  <si>
    <t>Остаток стоимости объекта, тыс. рублей</t>
  </si>
  <si>
    <t>первый год планового периода</t>
  </si>
  <si>
    <t>второй год планового периода</t>
  </si>
  <si>
    <t>запланированный объем всего</t>
  </si>
  <si>
    <t>Строительство автомобильной дороги Подъезд к с.Паратмары Горномарийского района</t>
  </si>
  <si>
    <t>Федеральный дорожный фонд</t>
  </si>
  <si>
    <t>дорожный фонд субъекта Российской Федерации</t>
  </si>
  <si>
    <t>Муниципальный дорожный фонд</t>
  </si>
  <si>
    <t>прочие источники</t>
  </si>
  <si>
    <t>Объем финансирования, тыс.руб.</t>
  </si>
  <si>
    <t>Фактически профинансировано капитальных вложений с начала текущего года по отчетный период включительно, в том числе</t>
  </si>
  <si>
    <t>62+000</t>
  </si>
  <si>
    <t xml:space="preserve">Автомобильная дорога Звенигово - Шелангер - Морки </t>
  </si>
  <si>
    <t>07.2017</t>
  </si>
  <si>
    <t>06.2017</t>
  </si>
  <si>
    <t>2</t>
  </si>
  <si>
    <t>Водопропускная труба на автомобильной дороге Йошкар - Ола - Уржум км 50+134</t>
  </si>
  <si>
    <t>Мощность, вводимая в эксплутацию в 2017 году</t>
  </si>
  <si>
    <t xml:space="preserve">за 2017 год </t>
  </si>
  <si>
    <t>Объем учитываемых при расчете бюджетных ассигнований дорожного фонда субъекта Российской Федерации доходов бюджета субъекта Российской Федерации, включенных в закон субъекта Российской Федерации, предусматривающий создание дорожного фонда, от 27.10.2011 № 58-З, (сумма строк 2, 3, 4, 5, 6, 11), из них:</t>
  </si>
  <si>
    <t>8+334</t>
  </si>
  <si>
    <t>22+094</t>
  </si>
  <si>
    <t>Объем ассигнований дорожного фонда субъекта Российской Федерации в соответствии с законом субъекта Российской Федерации о бюджете субъекта Российской Федерации от 20.12.2016. № 50-З, из них:</t>
  </si>
  <si>
    <t>Информация о формировании объемов дорожного фонда Республики Марий Эл за 2017 год</t>
  </si>
  <si>
    <t xml:space="preserve">Информация об основных направлениях расходования ассигнований дорожного фонда Республики Марий Эл            </t>
  </si>
  <si>
    <t>Результаты деятельности дорожного фонда Республики Марий Эл (представляется один раз по итогам года)</t>
  </si>
  <si>
    <t>Основные объемы работ, выполняемые на автомобильных дорогах регионального значения Республики Марий Эл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</si>
</sst>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¤&quot;#,##0_);\(&quot;¤&quot;#,##0\)"/>
    <numFmt numFmtId="165" formatCode="&quot;¤&quot;#,##0_);[Red]\(&quot;¤&quot;#,##0\)"/>
    <numFmt numFmtId="166" formatCode="&quot;¤&quot;#,##0.00_);\(&quot;¤&quot;#,##0.00\)"/>
    <numFmt numFmtId="167" formatCode="&quot;¤&quot;#,##0.00_);[Red]\(&quot;¤&quot;#,##0.00\)"/>
    <numFmt numFmtId="168" formatCode="_(&quot;¤&quot;* #,##0_);_(&quot;¤&quot;* \(#,##0\);_(&quot;¤&quot;* &quot;-&quot;_);_(@_)"/>
    <numFmt numFmtId="169" formatCode="_(* #,##0_);_(* \(#,##0\);_(* &quot;-&quot;_);_(@_)"/>
    <numFmt numFmtId="170" formatCode="_(&quot;¤&quot;* #,##0.00_);_(&quot;¤&quot;* \(#,##0.00\);_(&quot;¤&quot;* &quot;-&quot;??_);_(@_)"/>
    <numFmt numFmtId="171" formatCode="_(* #,##0.00_);_(* \(#,##0.00\);_(* &quot;-&quot;??_);_(@_)"/>
    <numFmt numFmtId="172" formatCode="_-* #,##0.00_р_._-;\-* #,##0.00_р_._-;_-* \-??_р_._-;_-@_-"/>
    <numFmt numFmtId="173" formatCode="#,##0.0"/>
    <numFmt numFmtId="174" formatCode="#,##0.000"/>
    <numFmt numFmtId="175" formatCode="_-* #,##0.00_-;\-* #,##0.00_-;_-* \-??_-;_-@_-"/>
    <numFmt numFmtId="176" formatCode="0.000"/>
    <numFmt numFmtId="177" formatCode="#,##0.00;\-#,##0.00"/>
    <numFmt numFmtId="178" formatCode="0.0"/>
    <numFmt numFmtId="179" formatCode="#,##0\ &quot;₽&quot;;\-#,##0\ &quot;₽&quot;"/>
    <numFmt numFmtId="180" formatCode="#,##0\ &quot;₽&quot;;[Red]\-#,##0\ &quot;₽&quot;"/>
    <numFmt numFmtId="181" formatCode="#,##0.00\ &quot;₽&quot;;\-#,##0.00\ &quot;₽&quot;"/>
    <numFmt numFmtId="182" formatCode="#,##0.00\ &quot;₽&quot;;[Red]\-#,##0.00\ &quot;₽&quot;"/>
    <numFmt numFmtId="183" formatCode="_-* #,##0\ _₽_-;\-* #,##0\ _₽_-;_-* &quot;-&quot;\ _₽_-;_-@_-"/>
    <numFmt numFmtId="184" formatCode="_-* #,##0\ &quot;₽&quot;_-;\-* #,##0\ &quot;₽&quot;_-;_-* &quot;-&quot;\ &quot;₽&quot;_-;_-@_-"/>
    <numFmt numFmtId="185" formatCode="_-* #,##0.00\ _₽_-;\-* #,##0.00\ _₽_-;_-* &quot;-&quot;??\ _₽_-;_-@_-"/>
    <numFmt numFmtId="186" formatCode="_-* #,##0.00\ &quot;₽&quot;_-;\-* #,##0.00\ &quot;₽&quot;_-;_-* &quot;-&quot;??\ &quot;₽&quot;_-;_-@_-"/>
  </numFmts>
  <fonts count="55">
    <font>
      <sz val="11"/>
      <name val="Arial Cyr"/>
      <family val="2"/>
    </font>
    <font>
      <sz val="14"/>
      <name val="Times New Roman"/>
      <family val="1"/>
    </font>
    <font>
      <sz val="14"/>
      <color indexed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0"/>
      <name val="Arial Cyr"/>
      <family val="2"/>
    </font>
    <font>
      <sz val="10"/>
      <name val="Arial"/>
      <family val="2"/>
    </font>
    <font>
      <sz val="12"/>
      <name val="Times New Roman CYR"/>
      <family val="1"/>
    </font>
    <font>
      <b/>
      <sz val="14"/>
      <name val="Times New Roman"/>
      <family val="1"/>
    </font>
    <font>
      <sz val="14"/>
      <name val="Times New Roman Cyr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Times New Roman Cyr"/>
      <family val="1"/>
    </font>
    <font>
      <sz val="11"/>
      <name val="Times New Roman CYR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Arial Cyr"/>
      <family val="2"/>
    </font>
    <font>
      <b/>
      <sz val="14"/>
      <name val="Times New Roman Cyr"/>
      <family val="1"/>
    </font>
    <font>
      <sz val="13"/>
      <name val="Times New Roman"/>
      <family val="1"/>
    </font>
    <font>
      <sz val="13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9"/>
      <name val="Times New Roman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double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double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186" fontId="6" fillId="0" borderId="0" applyFill="0" applyBorder="0" applyAlignment="0" applyProtection="0"/>
    <xf numFmtId="184" fontId="6" fillId="0" borderId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2" fillId="0" borderId="9" applyNumberFormat="0" applyFill="0" applyAlignment="0" applyProtection="0"/>
    <xf numFmtId="0" fontId="6" fillId="0" borderId="0">
      <alignment/>
      <protection/>
    </xf>
    <xf numFmtId="0" fontId="53" fillId="0" borderId="0" applyNumberFormat="0" applyFill="0" applyBorder="0" applyAlignment="0" applyProtection="0"/>
    <xf numFmtId="185" fontId="6" fillId="0" borderId="0" applyFill="0" applyBorder="0" applyAlignment="0" applyProtection="0"/>
    <xf numFmtId="183" fontId="6" fillId="0" borderId="0" applyFill="0" applyBorder="0" applyAlignment="0" applyProtection="0"/>
    <xf numFmtId="172" fontId="0" fillId="0" borderId="0" applyFill="0" applyBorder="0" applyAlignment="0" applyProtection="0"/>
    <xf numFmtId="0" fontId="54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4" fontId="1" fillId="33" borderId="10" xfId="0" applyNumberFormat="1" applyFont="1" applyFill="1" applyBorder="1" applyAlignment="1">
      <alignment horizontal="right" vertical="top" wrapText="1"/>
    </xf>
    <xf numFmtId="0" fontId="1" fillId="0" borderId="0" xfId="0" applyFont="1" applyAlignment="1">
      <alignment wrapText="1"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3" fillId="0" borderId="11" xfId="0" applyFont="1" applyBorder="1" applyAlignment="1">
      <alignment horizontal="right"/>
    </xf>
    <xf numFmtId="0" fontId="1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 horizontal="right" vertical="top"/>
    </xf>
    <xf numFmtId="0" fontId="1" fillId="0" borderId="10" xfId="0" applyFont="1" applyBorder="1" applyAlignment="1">
      <alignment horizontal="center" wrapText="1"/>
    </xf>
    <xf numFmtId="0" fontId="1" fillId="0" borderId="10" xfId="54" applyNumberFormat="1" applyFont="1" applyBorder="1" applyAlignment="1">
      <alignment horizontal="center" vertical="center" wrapText="1"/>
      <protection/>
    </xf>
    <xf numFmtId="0" fontId="1" fillId="0" borderId="10" xfId="0" applyFont="1" applyBorder="1" applyAlignment="1">
      <alignment horizontal="center" vertical="center"/>
    </xf>
    <xf numFmtId="1" fontId="4" fillId="0" borderId="10" xfId="56" applyNumberFormat="1" applyFont="1" applyFill="1" applyBorder="1" applyAlignment="1">
      <alignment horizontal="center" vertical="center"/>
      <protection/>
    </xf>
    <xf numFmtId="0" fontId="1" fillId="0" borderId="12" xfId="54" applyNumberFormat="1" applyFont="1" applyBorder="1" applyAlignment="1">
      <alignment horizontal="left" vertical="center" wrapText="1" indent="1"/>
      <protection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5" fillId="0" borderId="0" xfId="0" applyFont="1" applyFill="1" applyAlignment="1">
      <alignment/>
    </xf>
    <xf numFmtId="0" fontId="2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49" fontId="7" fillId="0" borderId="10" xfId="56" applyNumberFormat="1" applyFont="1" applyFill="1" applyBorder="1" applyAlignment="1">
      <alignment horizontal="center" vertical="center"/>
      <protection/>
    </xf>
    <xf numFmtId="4" fontId="1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4" fontId="1" fillId="33" borderId="10" xfId="0" applyNumberFormat="1" applyFont="1" applyFill="1" applyBorder="1" applyAlignment="1">
      <alignment horizontal="right" vertical="center" wrapText="1"/>
    </xf>
    <xf numFmtId="0" fontId="4" fillId="0" borderId="10" xfId="0" applyFont="1" applyBorder="1" applyAlignment="1">
      <alignment horizontal="center" wrapText="1"/>
    </xf>
    <xf numFmtId="0" fontId="1" fillId="0" borderId="13" xfId="0" applyFont="1" applyBorder="1" applyAlignment="1">
      <alignment horizontal="center" vertical="center" wrapText="1"/>
    </xf>
    <xf numFmtId="174" fontId="1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" fontId="1" fillId="0" borderId="10" xfId="0" applyNumberFormat="1" applyFont="1" applyBorder="1" applyAlignment="1">
      <alignment horizontal="right" vertical="center"/>
    </xf>
    <xf numFmtId="174" fontId="7" fillId="0" borderId="10" xfId="56" applyNumberFormat="1" applyFont="1" applyFill="1" applyBorder="1" applyAlignment="1">
      <alignment horizontal="center" vertical="center"/>
      <protection/>
    </xf>
    <xf numFmtId="0" fontId="1" fillId="0" borderId="12" xfId="54" applyNumberFormat="1" applyFont="1" applyFill="1" applyBorder="1" applyAlignment="1">
      <alignment horizontal="left" vertical="center" wrapText="1" indent="1"/>
      <protection/>
    </xf>
    <xf numFmtId="0" fontId="4" fillId="0" borderId="0" xfId="0" applyFont="1" applyAlignment="1">
      <alignment/>
    </xf>
    <xf numFmtId="0" fontId="7" fillId="0" borderId="0" xfId="56" applyFont="1" applyFill="1" applyBorder="1">
      <alignment/>
      <protection/>
    </xf>
    <xf numFmtId="4" fontId="1" fillId="33" borderId="10" xfId="0" applyNumberFormat="1" applyFont="1" applyFill="1" applyBorder="1" applyAlignment="1">
      <alignment horizontal="left" vertical="top" wrapText="1"/>
    </xf>
    <xf numFmtId="1" fontId="13" fillId="0" borderId="10" xfId="56" applyNumberFormat="1" applyFont="1" applyBorder="1" applyAlignment="1">
      <alignment horizontal="center" vertical="center"/>
      <protection/>
    </xf>
    <xf numFmtId="0" fontId="5" fillId="34" borderId="0" xfId="0" applyFont="1" applyFill="1" applyAlignment="1">
      <alignment/>
    </xf>
    <xf numFmtId="0" fontId="12" fillId="0" borderId="0" xfId="56" applyFont="1">
      <alignment/>
      <protection/>
    </xf>
    <xf numFmtId="0" fontId="6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177" fontId="2" fillId="0" borderId="10" xfId="0" applyNumberFormat="1" applyFont="1" applyBorder="1" applyAlignment="1">
      <alignment horizontal="center" vertical="center" wrapText="1"/>
    </xf>
    <xf numFmtId="4" fontId="1" fillId="33" borderId="10" xfId="0" applyNumberFormat="1" applyFont="1" applyFill="1" applyBorder="1" applyAlignment="1">
      <alignment horizontal="right" vertical="top"/>
    </xf>
    <xf numFmtId="0" fontId="1" fillId="0" borderId="10" xfId="0" applyNumberFormat="1" applyFont="1" applyFill="1" applyBorder="1" applyAlignment="1">
      <alignment vertical="top" wrapText="1"/>
    </xf>
    <xf numFmtId="0" fontId="1" fillId="0" borderId="12" xfId="54" applyNumberFormat="1" applyFont="1" applyBorder="1" applyAlignment="1">
      <alignment horizontal="left" vertical="center" wrapText="1" indent="2"/>
      <protection/>
    </xf>
    <xf numFmtId="0" fontId="13" fillId="0" borderId="10" xfId="56" applyFont="1" applyFill="1" applyBorder="1" applyAlignment="1">
      <alignment horizontal="center" vertical="center"/>
      <protection/>
    </xf>
    <xf numFmtId="0" fontId="1" fillId="0" borderId="0" xfId="0" applyFont="1" applyAlignment="1">
      <alignment vertical="center"/>
    </xf>
    <xf numFmtId="0" fontId="1" fillId="0" borderId="10" xfId="54" applyNumberFormat="1" applyFont="1" applyBorder="1" applyAlignment="1">
      <alignment horizontal="left" vertical="center" wrapText="1" indent="2"/>
      <protection/>
    </xf>
    <xf numFmtId="4" fontId="1" fillId="0" borderId="10" xfId="0" applyNumberFormat="1" applyFont="1" applyFill="1" applyBorder="1" applyAlignment="1">
      <alignment horizontal="right" vertical="top" wrapText="1"/>
    </xf>
    <xf numFmtId="0" fontId="11" fillId="33" borderId="0" xfId="0" applyFont="1" applyFill="1" applyBorder="1" applyAlignment="1">
      <alignment/>
    </xf>
    <xf numFmtId="0" fontId="7" fillId="0" borderId="10" xfId="56" applyNumberFormat="1" applyFont="1" applyFill="1" applyBorder="1" applyAlignment="1">
      <alignment horizontal="center" vertical="center"/>
      <protection/>
    </xf>
    <xf numFmtId="0" fontId="8" fillId="0" borderId="10" xfId="54" applyNumberFormat="1" applyFont="1" applyBorder="1" applyAlignment="1">
      <alignment horizontal="left" vertical="center" wrapText="1"/>
      <protection/>
    </xf>
    <xf numFmtId="0" fontId="11" fillId="33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14" fontId="7" fillId="0" borderId="10" xfId="56" applyNumberFormat="1" applyFont="1" applyFill="1" applyBorder="1" applyAlignment="1">
      <alignment horizontal="center" vertical="center"/>
      <protection/>
    </xf>
    <xf numFmtId="174" fontId="5" fillId="34" borderId="0" xfId="0" applyNumberFormat="1" applyFont="1" applyFill="1" applyAlignment="1">
      <alignment/>
    </xf>
    <xf numFmtId="4" fontId="1" fillId="33" borderId="1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left" vertical="top" wrapText="1"/>
    </xf>
    <xf numFmtId="3" fontId="4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1" fillId="0" borderId="12" xfId="54" applyNumberFormat="1" applyFont="1" applyFill="1" applyBorder="1" applyAlignment="1">
      <alignment horizontal="left" vertical="center" wrapText="1" indent="2"/>
      <protection/>
    </xf>
    <xf numFmtId="0" fontId="7" fillId="0" borderId="0" xfId="56" applyFont="1" applyFill="1">
      <alignment/>
      <protection/>
    </xf>
    <xf numFmtId="0" fontId="1" fillId="0" borderId="10" xfId="0" applyFont="1" applyFill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right"/>
    </xf>
    <xf numFmtId="49" fontId="4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8" fillId="0" borderId="12" xfId="54" applyNumberFormat="1" applyFont="1" applyBorder="1" applyAlignment="1">
      <alignment horizontal="left" vertical="center" wrapText="1" indent="2"/>
      <protection/>
    </xf>
    <xf numFmtId="0" fontId="4" fillId="0" borderId="10" xfId="55" applyFont="1" applyFill="1" applyBorder="1" applyAlignment="1">
      <alignment horizontal="center" vertical="center" wrapText="1"/>
      <protection/>
    </xf>
    <xf numFmtId="0" fontId="4" fillId="33" borderId="14" xfId="0" applyFont="1" applyFill="1" applyBorder="1" applyAlignment="1">
      <alignment vertical="center" wrapText="1"/>
    </xf>
    <xf numFmtId="0" fontId="1" fillId="0" borderId="0" xfId="54" applyNumberFormat="1" applyFont="1" applyBorder="1" applyAlignment="1">
      <alignment horizontal="left" vertical="center" wrapText="1"/>
      <protection/>
    </xf>
    <xf numFmtId="0" fontId="2" fillId="0" borderId="0" xfId="0" applyFont="1" applyFill="1" applyAlignment="1">
      <alignment/>
    </xf>
    <xf numFmtId="0" fontId="1" fillId="0" borderId="13" xfId="54" applyNumberFormat="1" applyFont="1" applyBorder="1" applyAlignment="1">
      <alignment horizontal="left" vertical="center" wrapText="1" indent="2"/>
      <protection/>
    </xf>
    <xf numFmtId="0" fontId="8" fillId="0" borderId="10" xfId="54" applyNumberFormat="1" applyFont="1" applyBorder="1" applyAlignment="1">
      <alignment horizontal="left" vertical="top" wrapText="1"/>
      <protection/>
    </xf>
    <xf numFmtId="0" fontId="1" fillId="0" borderId="10" xfId="0" applyFont="1" applyFill="1" applyBorder="1" applyAlignment="1">
      <alignment vertical="top" wrapText="1"/>
    </xf>
    <xf numFmtId="3" fontId="1" fillId="0" borderId="0" xfId="0" applyNumberFormat="1" applyFont="1" applyBorder="1" applyAlignment="1">
      <alignment horizontal="center" vertical="center"/>
    </xf>
    <xf numFmtId="0" fontId="2" fillId="0" borderId="10" xfId="0" applyNumberFormat="1" applyFont="1" applyFill="1" applyBorder="1" applyAlignment="1">
      <alignment vertical="top" wrapText="1"/>
    </xf>
    <xf numFmtId="3" fontId="1" fillId="0" borderId="10" xfId="0" applyNumberFormat="1" applyFont="1" applyBorder="1" applyAlignment="1">
      <alignment horizontal="center" wrapText="1"/>
    </xf>
    <xf numFmtId="0" fontId="3" fillId="0" borderId="13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right"/>
    </xf>
    <xf numFmtId="0" fontId="3" fillId="0" borderId="0" xfId="54" applyNumberFormat="1" applyFont="1" applyBorder="1" applyAlignment="1">
      <alignment horizontal="center" vertical="center" wrapText="1"/>
      <protection/>
    </xf>
    <xf numFmtId="0" fontId="1" fillId="0" borderId="0" xfId="0" applyNumberFormat="1" applyFont="1" applyAlignment="1">
      <alignment horizontal="center"/>
    </xf>
    <xf numFmtId="0" fontId="13" fillId="0" borderId="10" xfId="56" applyFont="1" applyFill="1" applyBorder="1" applyAlignment="1">
      <alignment horizontal="center" vertical="center" wrapText="1"/>
      <protection/>
    </xf>
    <xf numFmtId="173" fontId="1" fillId="0" borderId="10" xfId="0" applyNumberFormat="1" applyFont="1" applyBorder="1" applyAlignment="1">
      <alignment horizontal="center" vertical="center"/>
    </xf>
    <xf numFmtId="0" fontId="9" fillId="0" borderId="0" xfId="56" applyFont="1" applyAlignment="1">
      <alignment horizontal="right"/>
      <protection/>
    </xf>
    <xf numFmtId="0" fontId="1" fillId="0" borderId="0" xfId="54" applyNumberFormat="1" applyFont="1" applyBorder="1" applyAlignment="1">
      <alignment horizontal="left" vertical="center" wrapText="1" indent="2"/>
      <protection/>
    </xf>
    <xf numFmtId="0" fontId="12" fillId="0" borderId="0" xfId="56" applyFont="1" applyAlignment="1">
      <alignment horizontal="center" vertical="center"/>
      <protection/>
    </xf>
    <xf numFmtId="0" fontId="3" fillId="0" borderId="0" xfId="0" applyFont="1" applyAlignment="1">
      <alignment/>
    </xf>
    <xf numFmtId="0" fontId="16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10" xfId="54" applyNumberFormat="1" applyFont="1" applyBorder="1" applyAlignment="1">
      <alignment horizontal="left" vertical="center" wrapText="1"/>
      <protection/>
    </xf>
    <xf numFmtId="49" fontId="14" fillId="0" borderId="10" xfId="55" applyNumberFormat="1" applyFont="1" applyFill="1" applyBorder="1" applyAlignment="1">
      <alignment horizontal="left" vertical="center" wrapText="1"/>
      <protection/>
    </xf>
    <xf numFmtId="0" fontId="8" fillId="0" borderId="12" xfId="54" applyNumberFormat="1" applyFont="1" applyBorder="1" applyAlignment="1">
      <alignment horizontal="left" vertical="center" wrapText="1"/>
      <protection/>
    </xf>
    <xf numFmtId="0" fontId="12" fillId="0" borderId="0" xfId="56" applyFont="1" applyAlignment="1">
      <alignment horizontal="center" vertical="center" wrapText="1"/>
      <protection/>
    </xf>
    <xf numFmtId="173" fontId="1" fillId="0" borderId="10" xfId="54" applyNumberFormat="1" applyFont="1" applyBorder="1" applyAlignment="1">
      <alignment horizontal="center" vertical="center" wrapText="1"/>
      <protection/>
    </xf>
    <xf numFmtId="0" fontId="4" fillId="0" borderId="10" xfId="56" applyFont="1" applyFill="1" applyBorder="1" applyAlignment="1">
      <alignment horizontal="center" vertical="center"/>
      <protection/>
    </xf>
    <xf numFmtId="0" fontId="7" fillId="0" borderId="0" xfId="56" applyFont="1">
      <alignment/>
      <protection/>
    </xf>
    <xf numFmtId="0" fontId="4" fillId="0" borderId="0" xfId="0" applyFont="1" applyAlignment="1">
      <alignment horizontal="center"/>
    </xf>
    <xf numFmtId="4" fontId="1" fillId="0" borderId="0" xfId="54" applyNumberFormat="1" applyFont="1" applyBorder="1" applyAlignment="1">
      <alignment horizontal="center" vertical="center" wrapText="1"/>
      <protection/>
    </xf>
    <xf numFmtId="0" fontId="2" fillId="0" borderId="10" xfId="0" applyFont="1" applyBorder="1" applyAlignment="1">
      <alignment vertical="top" wrapText="1"/>
    </xf>
    <xf numFmtId="0" fontId="1" fillId="0" borderId="13" xfId="54" applyNumberFormat="1" applyFont="1" applyBorder="1" applyAlignment="1">
      <alignment horizontal="center" vertical="center" wrapText="1"/>
      <protection/>
    </xf>
    <xf numFmtId="4" fontId="1" fillId="0" borderId="10" xfId="0" applyNumberFormat="1" applyFont="1" applyBorder="1" applyAlignment="1">
      <alignment wrapText="1"/>
    </xf>
    <xf numFmtId="0" fontId="5" fillId="0" borderId="0" xfId="0" applyFont="1" applyBorder="1" applyAlignment="1">
      <alignment horizontal="right"/>
    </xf>
    <xf numFmtId="0" fontId="14" fillId="0" borderId="10" xfId="0" applyFont="1" applyBorder="1" applyAlignment="1">
      <alignment horizontal="left" vertical="top" wrapText="1" indent="1"/>
    </xf>
    <xf numFmtId="176" fontId="7" fillId="0" borderId="10" xfId="56" applyNumberFormat="1" applyFont="1" applyFill="1" applyBorder="1" applyAlignment="1">
      <alignment horizontal="center" vertical="center"/>
      <protection/>
    </xf>
    <xf numFmtId="0" fontId="16" fillId="0" borderId="0" xfId="0" applyFont="1" applyFill="1" applyAlignment="1">
      <alignment/>
    </xf>
    <xf numFmtId="0" fontId="12" fillId="0" borderId="0" xfId="56" applyFont="1" applyAlignment="1">
      <alignment wrapText="1"/>
      <protection/>
    </xf>
    <xf numFmtId="173" fontId="5" fillId="0" borderId="0" xfId="0" applyNumberFormat="1" applyFont="1" applyAlignment="1">
      <alignment/>
    </xf>
    <xf numFmtId="49" fontId="14" fillId="0" borderId="10" xfId="56" applyNumberFormat="1" applyFont="1" applyFill="1" applyBorder="1" applyAlignment="1">
      <alignment horizontal="center" vertical="center"/>
      <protection/>
    </xf>
    <xf numFmtId="0" fontId="18" fillId="33" borderId="10" xfId="0" applyFont="1" applyFill="1" applyBorder="1" applyAlignment="1">
      <alignment horizontal="left" vertical="center" wrapText="1"/>
    </xf>
    <xf numFmtId="49" fontId="19" fillId="33" borderId="10" xfId="0" applyNumberFormat="1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/>
    </xf>
    <xf numFmtId="174" fontId="19" fillId="33" borderId="10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right"/>
    </xf>
    <xf numFmtId="0" fontId="0" fillId="0" borderId="0" xfId="0" applyAlignment="1">
      <alignment/>
    </xf>
    <xf numFmtId="0" fontId="8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3" fillId="0" borderId="11" xfId="0" applyFont="1" applyBorder="1" applyAlignment="1">
      <alignment horizontal="right"/>
    </xf>
    <xf numFmtId="0" fontId="1" fillId="0" borderId="0" xfId="0" applyFont="1" applyBorder="1" applyAlignment="1">
      <alignment wrapText="1"/>
    </xf>
    <xf numFmtId="0" fontId="1" fillId="0" borderId="17" xfId="54" applyNumberFormat="1" applyFont="1" applyBorder="1" applyAlignment="1">
      <alignment horizontal="center" vertical="center" wrapText="1"/>
      <protection/>
    </xf>
    <xf numFmtId="0" fontId="1" fillId="0" borderId="18" xfId="54" applyNumberFormat="1" applyFont="1" applyBorder="1" applyAlignment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0" fillId="33" borderId="20" xfId="0" applyFont="1" applyFill="1" applyBorder="1" applyAlignment="1">
      <alignment horizontal="center" vertical="center" wrapText="1"/>
    </xf>
    <xf numFmtId="0" fontId="11" fillId="33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15" fillId="33" borderId="11" xfId="0" applyFont="1" applyFill="1" applyBorder="1" applyAlignment="1">
      <alignment horizontal="center" wrapText="1"/>
    </xf>
    <xf numFmtId="9" fontId="9" fillId="33" borderId="10" xfId="60" applyFont="1" applyFill="1" applyBorder="1" applyAlignment="1" applyProtection="1">
      <alignment horizontal="center" vertical="center" wrapText="1"/>
      <protection/>
    </xf>
    <xf numFmtId="0" fontId="9" fillId="33" borderId="10" xfId="56" applyFont="1" applyFill="1" applyBorder="1" applyAlignment="1">
      <alignment horizontal="center" vertical="center" wrapText="1"/>
      <protection/>
    </xf>
    <xf numFmtId="0" fontId="9" fillId="0" borderId="10" xfId="56" applyFont="1" applyBorder="1" applyAlignment="1">
      <alignment horizontal="center" vertical="center" wrapText="1"/>
      <protection/>
    </xf>
    <xf numFmtId="0" fontId="9" fillId="0" borderId="10" xfId="55" applyFont="1" applyBorder="1" applyAlignment="1">
      <alignment horizontal="center" vertical="center" wrapText="1"/>
      <protection/>
    </xf>
    <xf numFmtId="0" fontId="17" fillId="0" borderId="11" xfId="56" applyFont="1" applyBorder="1" applyAlignment="1">
      <alignment horizontal="center" vertical="center" wrapText="1"/>
      <protection/>
    </xf>
    <xf numFmtId="0" fontId="9" fillId="0" borderId="10" xfId="56" applyFont="1" applyBorder="1" applyAlignment="1">
      <alignment horizontal="center" vertical="center" textRotation="90" wrapText="1"/>
      <protection/>
    </xf>
    <xf numFmtId="0" fontId="8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15" fillId="0" borderId="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3" xfId="0" applyFont="1" applyBorder="1" applyAlignment="1">
      <alignment vertical="center" wrapText="1"/>
    </xf>
    <xf numFmtId="174" fontId="19" fillId="0" borderId="10" xfId="0" applyNumberFormat="1" applyFont="1" applyFill="1" applyBorder="1" applyAlignment="1">
      <alignment horizontal="right" vertical="center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 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337600000004" xfId="54"/>
    <cellStyle name="Обычный_Капремонта 2012-2013 УТВЕРЖ 26 12 2011ПОСЛЕДНИЙ" xfId="55"/>
    <cellStyle name="Обычный_формы рем. 2004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view="pageBreakPreview" zoomScale="75" zoomScaleNormal="75" zoomScaleSheetLayoutView="75" zoomScalePageLayoutView="0" workbookViewId="0" topLeftCell="A1">
      <selection activeCell="A6" sqref="A6"/>
    </sheetView>
  </sheetViews>
  <sheetFormatPr defaultColWidth="9" defaultRowHeight="14.25"/>
  <cols>
    <col min="1" max="1" width="79.59765625" style="5" customWidth="1"/>
    <col min="2" max="2" width="10.3984375" style="5" customWidth="1"/>
    <col min="3" max="3" width="15.5" style="22" customWidth="1"/>
    <col min="4" max="4" width="16.8984375" style="5" customWidth="1"/>
    <col min="5" max="5" width="14.59765625" style="5" customWidth="1"/>
    <col min="6" max="6" width="15.59765625" style="5" customWidth="1"/>
    <col min="7" max="13" width="9" style="5" customWidth="1"/>
    <col min="14" max="14" width="9.3984375" style="5" hidden="1" customWidth="1"/>
    <col min="15" max="16384" width="9" style="5" customWidth="1"/>
  </cols>
  <sheetData>
    <row r="1" spans="1:14" ht="18">
      <c r="A1" s="116" t="s">
        <v>0</v>
      </c>
      <c r="B1" s="117"/>
      <c r="C1" s="117"/>
      <c r="D1" s="117"/>
      <c r="E1" s="117"/>
      <c r="F1" s="117"/>
      <c r="N1" s="5">
        <v>2017</v>
      </c>
    </row>
    <row r="2" spans="1:6" ht="24.75" customHeight="1">
      <c r="A2" s="118" t="s">
        <v>341</v>
      </c>
      <c r="B2" s="118"/>
      <c r="C2" s="118"/>
      <c r="D2" s="118"/>
      <c r="E2" s="118"/>
      <c r="F2" s="118"/>
    </row>
    <row r="3" spans="1:6" ht="18.75" customHeight="1">
      <c r="A3" s="119" t="s">
        <v>2</v>
      </c>
      <c r="B3" s="121" t="s">
        <v>8</v>
      </c>
      <c r="C3" s="119" t="s">
        <v>3</v>
      </c>
      <c r="D3" s="119"/>
      <c r="E3" s="119"/>
      <c r="F3" s="119"/>
    </row>
    <row r="4" spans="1:6" ht="37.5" customHeight="1">
      <c r="A4" s="119"/>
      <c r="B4" s="122"/>
      <c r="C4" s="120" t="s">
        <v>1</v>
      </c>
      <c r="D4" s="120"/>
      <c r="E4" s="119" t="str">
        <f>$N$1+1&amp;" год"</f>
        <v>2018 год</v>
      </c>
      <c r="F4" s="119" t="str">
        <f>$N$1+2&amp;" год"</f>
        <v>2019 год</v>
      </c>
    </row>
    <row r="5" spans="1:6" ht="36">
      <c r="A5" s="119"/>
      <c r="B5" s="123"/>
      <c r="C5" s="19" t="s">
        <v>4</v>
      </c>
      <c r="D5" s="19" t="s">
        <v>5</v>
      </c>
      <c r="E5" s="119"/>
      <c r="F5" s="119"/>
    </row>
    <row r="6" spans="1:6" s="36" customFormat="1" ht="112.5" customHeight="1">
      <c r="A6" s="76" t="s">
        <v>337</v>
      </c>
      <c r="B6" s="11">
        <v>1</v>
      </c>
      <c r="C6" s="29">
        <f>C7+C8+C9+C10+C11+C16</f>
        <v>2053.950031</v>
      </c>
      <c r="D6" s="29">
        <f>D7+D8+D9+D10+D11+D16</f>
        <v>2165.681549</v>
      </c>
      <c r="E6" s="29">
        <f>E7+E8+E9+E10+E11+E16</f>
        <v>1731.893</v>
      </c>
      <c r="F6" s="29">
        <f>F7+F8+F9+F10+F11+F16</f>
        <v>1892.723</v>
      </c>
    </row>
    <row r="7" spans="1:6" ht="61.5" customHeight="1">
      <c r="A7" s="14" t="s">
        <v>269</v>
      </c>
      <c r="B7" s="11">
        <v>2</v>
      </c>
      <c r="C7" s="29">
        <f>1110528/1000</f>
        <v>1110.528</v>
      </c>
      <c r="D7" s="29">
        <f>1192903.751/1000</f>
        <v>1192.9037509999998</v>
      </c>
      <c r="E7" s="56">
        <f>1093769/1000</f>
        <v>1093.769</v>
      </c>
      <c r="F7" s="56">
        <f>1230474/1000</f>
        <v>1230.474</v>
      </c>
    </row>
    <row r="8" spans="1:6" ht="40.5" customHeight="1">
      <c r="A8" s="14" t="s">
        <v>270</v>
      </c>
      <c r="B8" s="11">
        <v>3</v>
      </c>
      <c r="C8" s="24">
        <f>573329/1000</f>
        <v>573.329</v>
      </c>
      <c r="D8" s="24">
        <f>603364/1000</f>
        <v>603.364</v>
      </c>
      <c r="E8" s="24">
        <f>638124/1000</f>
        <v>638.124</v>
      </c>
      <c r="F8" s="24">
        <f>662249/1000</f>
        <v>662.249</v>
      </c>
    </row>
    <row r="9" spans="1:6" ht="58.5" customHeight="1">
      <c r="A9" s="31" t="s">
        <v>271</v>
      </c>
      <c r="B9" s="11">
        <v>4</v>
      </c>
      <c r="C9" s="24">
        <f>266433.031/1000</f>
        <v>266.433031</v>
      </c>
      <c r="D9" s="24">
        <f>265753.798/1000</f>
        <v>265.753798</v>
      </c>
      <c r="E9" s="24">
        <f>0/1000</f>
        <v>0</v>
      </c>
      <c r="F9" s="24">
        <f>0/1000</f>
        <v>0</v>
      </c>
    </row>
    <row r="10" spans="1:6" ht="58.5" customHeight="1">
      <c r="A10" s="14" t="s">
        <v>272</v>
      </c>
      <c r="B10" s="11">
        <v>5</v>
      </c>
      <c r="C10" s="24">
        <f>0/1000</f>
        <v>0</v>
      </c>
      <c r="D10" s="24">
        <f>0/1000</f>
        <v>0</v>
      </c>
      <c r="E10" s="24">
        <f>0/1000</f>
        <v>0</v>
      </c>
      <c r="F10" s="24">
        <f>0/1000</f>
        <v>0</v>
      </c>
    </row>
    <row r="11" spans="1:6" ht="30.75" customHeight="1">
      <c r="A11" s="14" t="s">
        <v>273</v>
      </c>
      <c r="B11" s="11">
        <v>6</v>
      </c>
      <c r="C11" s="24">
        <f>C12+C13+C14+C15</f>
        <v>103.66</v>
      </c>
      <c r="D11" s="24">
        <f>D12+D13+D14+D15</f>
        <v>103.66</v>
      </c>
      <c r="E11" s="24">
        <f>E12+E13+E14+E15</f>
        <v>0</v>
      </c>
      <c r="F11" s="24">
        <f>F12+F13+F14+F15</f>
        <v>0</v>
      </c>
    </row>
    <row r="12" spans="1:6" ht="40.5" customHeight="1">
      <c r="A12" s="61" t="s">
        <v>274</v>
      </c>
      <c r="B12" s="11">
        <v>7</v>
      </c>
      <c r="C12" s="24">
        <f>0/1000</f>
        <v>0</v>
      </c>
      <c r="D12" s="24">
        <f>0/1000</f>
        <v>0</v>
      </c>
      <c r="E12" s="24">
        <f aca="true" t="shared" si="0" ref="E12:F16">0/1000</f>
        <v>0</v>
      </c>
      <c r="F12" s="24">
        <f t="shared" si="0"/>
        <v>0</v>
      </c>
    </row>
    <row r="13" spans="1:6" ht="40.5" customHeight="1">
      <c r="A13" s="61" t="s">
        <v>275</v>
      </c>
      <c r="B13" s="11">
        <v>8</v>
      </c>
      <c r="C13" s="24">
        <f>103660/1000</f>
        <v>103.66</v>
      </c>
      <c r="D13" s="24">
        <f>103660/1000</f>
        <v>103.66</v>
      </c>
      <c r="E13" s="24">
        <f t="shared" si="0"/>
        <v>0</v>
      </c>
      <c r="F13" s="24">
        <f t="shared" si="0"/>
        <v>0</v>
      </c>
    </row>
    <row r="14" spans="1:6" ht="44.25" customHeight="1">
      <c r="A14" s="61" t="s">
        <v>276</v>
      </c>
      <c r="B14" s="11">
        <v>9</v>
      </c>
      <c r="C14" s="24">
        <f aca="true" t="shared" si="1" ref="C14:D16">0/1000</f>
        <v>0</v>
      </c>
      <c r="D14" s="24">
        <f t="shared" si="1"/>
        <v>0</v>
      </c>
      <c r="E14" s="24">
        <f t="shared" si="0"/>
        <v>0</v>
      </c>
      <c r="F14" s="24">
        <f t="shared" si="0"/>
        <v>0</v>
      </c>
    </row>
    <row r="15" spans="1:6" ht="41.25" customHeight="1">
      <c r="A15" s="61" t="s">
        <v>277</v>
      </c>
      <c r="B15" s="11">
        <v>10</v>
      </c>
      <c r="C15" s="24">
        <f t="shared" si="1"/>
        <v>0</v>
      </c>
      <c r="D15" s="24">
        <f t="shared" si="1"/>
        <v>0</v>
      </c>
      <c r="E15" s="24">
        <f t="shared" si="0"/>
        <v>0</v>
      </c>
      <c r="F15" s="24">
        <f t="shared" si="0"/>
        <v>0</v>
      </c>
    </row>
    <row r="16" spans="1:6" ht="63" customHeight="1">
      <c r="A16" s="31" t="s">
        <v>278</v>
      </c>
      <c r="B16" s="11">
        <v>11</v>
      </c>
      <c r="C16" s="24">
        <f t="shared" si="1"/>
        <v>0</v>
      </c>
      <c r="D16" s="24">
        <f t="shared" si="1"/>
        <v>0</v>
      </c>
      <c r="E16" s="24">
        <f t="shared" si="0"/>
        <v>0</v>
      </c>
      <c r="F16" s="24">
        <f t="shared" si="0"/>
        <v>0</v>
      </c>
    </row>
  </sheetData>
  <sheetProtection/>
  <mergeCells count="8">
    <mergeCell ref="A1:F1"/>
    <mergeCell ref="A2:F2"/>
    <mergeCell ref="A3:A5"/>
    <mergeCell ref="C3:F3"/>
    <mergeCell ref="C4:D4"/>
    <mergeCell ref="E4:E5"/>
    <mergeCell ref="F4:F5"/>
    <mergeCell ref="B3:B5"/>
  </mergeCells>
  <printOptions horizontalCentered="1"/>
  <pageMargins left="0.3937007874015748" right="0.3937007874015748" top="0.7874015748031497" bottom="0.7874015748031497" header="0.5118110236220472" footer="0.5118110236220472"/>
  <pageSetup fitToHeight="2" fitToWidth="1" horizontalDpi="300" verticalDpi="300" orientation="landscape" paperSize="9" scale="8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4"/>
  <sheetViews>
    <sheetView view="pageBreakPreview" zoomScale="75" zoomScaleNormal="75" zoomScaleSheetLayoutView="75" zoomScalePageLayoutView="0" workbookViewId="0" topLeftCell="A1">
      <selection activeCell="C4" sqref="C4:D4"/>
    </sheetView>
  </sheetViews>
  <sheetFormatPr defaultColWidth="9" defaultRowHeight="14.25"/>
  <cols>
    <col min="1" max="1" width="4.59765625" style="6" customWidth="1"/>
    <col min="2" max="2" width="32.3984375" style="6" customWidth="1"/>
    <col min="3" max="3" width="11.19921875" style="6" customWidth="1"/>
    <col min="4" max="4" width="13.19921875" style="6" customWidth="1"/>
    <col min="5" max="5" width="11.3984375" style="6" customWidth="1"/>
    <col min="6" max="6" width="13.5" style="6" customWidth="1"/>
    <col min="7" max="8" width="13.19921875" style="6" customWidth="1"/>
    <col min="9" max="9" width="11.69921875" style="6" customWidth="1"/>
    <col min="10" max="10" width="13.09765625" style="6" customWidth="1"/>
    <col min="11" max="16384" width="9" style="6" customWidth="1"/>
  </cols>
  <sheetData>
    <row r="1" spans="9:10" ht="18">
      <c r="I1" s="147" t="s">
        <v>248</v>
      </c>
      <c r="J1" s="147"/>
    </row>
    <row r="2" spans="1:10" ht="84.75" customHeight="1">
      <c r="A2" s="144" t="s">
        <v>249</v>
      </c>
      <c r="B2" s="144"/>
      <c r="C2" s="144"/>
      <c r="D2" s="144"/>
      <c r="E2" s="144"/>
      <c r="F2" s="144"/>
      <c r="G2" s="144"/>
      <c r="H2" s="144"/>
      <c r="I2" s="144"/>
      <c r="J2" s="144"/>
    </row>
    <row r="3" spans="1:10" s="45" customFormat="1" ht="18.75" customHeight="1">
      <c r="A3" s="119" t="s">
        <v>173</v>
      </c>
      <c r="B3" s="119" t="s">
        <v>230</v>
      </c>
      <c r="C3" s="119" t="s">
        <v>247</v>
      </c>
      <c r="D3" s="119"/>
      <c r="E3" s="119"/>
      <c r="F3" s="119"/>
      <c r="G3" s="119"/>
      <c r="H3" s="119"/>
      <c r="I3" s="119"/>
      <c r="J3" s="119"/>
    </row>
    <row r="4" spans="1:10" s="45" customFormat="1" ht="18.75" customHeight="1">
      <c r="A4" s="119"/>
      <c r="B4" s="119"/>
      <c r="C4" s="119" t="s">
        <v>251</v>
      </c>
      <c r="D4" s="119"/>
      <c r="E4" s="119" t="s">
        <v>252</v>
      </c>
      <c r="F4" s="119"/>
      <c r="G4" s="119" t="s">
        <v>253</v>
      </c>
      <c r="H4" s="119"/>
      <c r="I4" s="119" t="s">
        <v>254</v>
      </c>
      <c r="J4" s="119"/>
    </row>
    <row r="5" spans="1:10" ht="47.25" customHeight="1">
      <c r="A5" s="119"/>
      <c r="B5" s="119"/>
      <c r="C5" s="16" t="s">
        <v>255</v>
      </c>
      <c r="D5" s="10" t="s">
        <v>256</v>
      </c>
      <c r="E5" s="16" t="s">
        <v>255</v>
      </c>
      <c r="F5" s="16" t="s">
        <v>256</v>
      </c>
      <c r="G5" s="16" t="s">
        <v>255</v>
      </c>
      <c r="H5" s="16" t="s">
        <v>256</v>
      </c>
      <c r="I5" s="10" t="s">
        <v>255</v>
      </c>
      <c r="J5" s="10" t="s">
        <v>256</v>
      </c>
    </row>
    <row r="6" spans="1:10" ht="18">
      <c r="A6" s="10">
        <v>1</v>
      </c>
      <c r="B6" s="10">
        <v>2</v>
      </c>
      <c r="C6" s="10">
        <v>3</v>
      </c>
      <c r="D6" s="10">
        <v>4</v>
      </c>
      <c r="E6" s="8">
        <v>5</v>
      </c>
      <c r="F6" s="8">
        <v>6</v>
      </c>
      <c r="G6" s="8">
        <v>7</v>
      </c>
      <c r="H6" s="8">
        <v>8</v>
      </c>
      <c r="I6" s="8">
        <v>9</v>
      </c>
      <c r="J6" s="8">
        <v>10</v>
      </c>
    </row>
    <row r="7" spans="1:10" ht="18">
      <c r="A7" s="1">
        <v>1</v>
      </c>
      <c r="B7" s="16" t="s">
        <v>250</v>
      </c>
      <c r="C7" s="67"/>
      <c r="D7" s="67"/>
      <c r="E7" s="18">
        <v>0.7422</v>
      </c>
      <c r="F7" s="18">
        <v>0.8749</v>
      </c>
      <c r="G7" s="18"/>
      <c r="H7" s="18"/>
      <c r="I7" s="18">
        <v>0.582</v>
      </c>
      <c r="J7" s="18">
        <v>0.10476</v>
      </c>
    </row>
    <row r="8" spans="1:10" ht="18">
      <c r="A8" s="1">
        <v>2</v>
      </c>
      <c r="B8" s="16" t="s">
        <v>246</v>
      </c>
      <c r="C8" s="67">
        <v>101.621</v>
      </c>
      <c r="D8" s="67">
        <v>221.132</v>
      </c>
      <c r="E8" s="18"/>
      <c r="F8" s="18"/>
      <c r="G8" s="18"/>
      <c r="H8" s="18"/>
      <c r="I8" s="18"/>
      <c r="J8" s="18"/>
    </row>
    <row r="9" spans="1:10" ht="36">
      <c r="A9" s="1">
        <v>3</v>
      </c>
      <c r="B9" s="16" t="s">
        <v>245</v>
      </c>
      <c r="C9" s="67"/>
      <c r="D9" s="67"/>
      <c r="E9" s="18">
        <v>1.43</v>
      </c>
      <c r="F9" s="18">
        <v>0.8707</v>
      </c>
      <c r="G9" s="18"/>
      <c r="H9" s="18"/>
      <c r="I9" s="18"/>
      <c r="J9" s="18"/>
    </row>
    <row r="10" spans="1:10" ht="36">
      <c r="A10" s="1">
        <v>4</v>
      </c>
      <c r="B10" s="16" t="s">
        <v>244</v>
      </c>
      <c r="C10" s="67"/>
      <c r="D10" s="67"/>
      <c r="E10" s="18"/>
      <c r="F10" s="18"/>
      <c r="G10" s="18"/>
      <c r="H10" s="18"/>
      <c r="I10" s="18">
        <v>9.2058</v>
      </c>
      <c r="J10" s="18">
        <v>2.04167</v>
      </c>
    </row>
    <row r="11" spans="1:10" ht="36">
      <c r="A11" s="1">
        <v>5</v>
      </c>
      <c r="B11" s="16" t="s">
        <v>243</v>
      </c>
      <c r="C11" s="67"/>
      <c r="D11" s="67"/>
      <c r="E11" s="18"/>
      <c r="F11" s="18"/>
      <c r="G11" s="18"/>
      <c r="H11" s="18"/>
      <c r="I11" s="18">
        <v>9</v>
      </c>
      <c r="J11" s="18">
        <v>1.99603</v>
      </c>
    </row>
    <row r="12" spans="1:10" ht="36">
      <c r="A12" s="1">
        <v>6</v>
      </c>
      <c r="B12" s="16" t="s">
        <v>242</v>
      </c>
      <c r="C12" s="67"/>
      <c r="D12" s="67"/>
      <c r="E12" s="18">
        <v>4.691</v>
      </c>
      <c r="F12" s="18">
        <v>3.032</v>
      </c>
      <c r="G12" s="18"/>
      <c r="H12" s="18"/>
      <c r="I12" s="18">
        <v>0.3</v>
      </c>
      <c r="J12" s="18">
        <v>0.071</v>
      </c>
    </row>
    <row r="13" spans="1:10" ht="18">
      <c r="A13" s="1">
        <v>7</v>
      </c>
      <c r="B13" s="16" t="s">
        <v>241</v>
      </c>
      <c r="C13" s="67"/>
      <c r="D13" s="67"/>
      <c r="E13" s="18">
        <v>6.836</v>
      </c>
      <c r="F13" s="18">
        <v>3.404</v>
      </c>
      <c r="G13" s="18"/>
      <c r="H13" s="18"/>
      <c r="I13" s="18"/>
      <c r="J13" s="18"/>
    </row>
    <row r="14" spans="1:10" ht="18">
      <c r="A14" s="1">
        <v>8</v>
      </c>
      <c r="B14" s="16" t="s">
        <v>240</v>
      </c>
      <c r="C14" s="67"/>
      <c r="D14" s="67"/>
      <c r="E14" s="18">
        <v>1.904</v>
      </c>
      <c r="F14" s="18">
        <v>1.163</v>
      </c>
      <c r="G14" s="18"/>
      <c r="H14" s="18"/>
      <c r="I14" s="18"/>
      <c r="J14" s="18"/>
    </row>
  </sheetData>
  <sheetProtection/>
  <mergeCells count="9">
    <mergeCell ref="I1:J1"/>
    <mergeCell ref="A2:J2"/>
    <mergeCell ref="A3:A5"/>
    <mergeCell ref="B3:B5"/>
    <mergeCell ref="C3:J3"/>
    <mergeCell ref="C4:D4"/>
    <mergeCell ref="E4:F4"/>
    <mergeCell ref="G4:H4"/>
    <mergeCell ref="I4:J4"/>
  </mergeCells>
  <printOptions/>
  <pageMargins left="0.3937007874015748" right="0.1968503937007874" top="1.3779527559055118" bottom="0.5905511811023623" header="0.5118110236220472" footer="0.5118110236220472"/>
  <pageSetup horizontalDpi="300" verticalDpi="300" orientation="landscape" paperSize="9" scale="8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3"/>
  <sheetViews>
    <sheetView view="pageBreakPreview" zoomScale="75" zoomScaleNormal="75" zoomScaleSheetLayoutView="75" zoomScalePageLayoutView="0" workbookViewId="0" topLeftCell="A1">
      <selection activeCell="A8" sqref="A8:E8"/>
    </sheetView>
  </sheetViews>
  <sheetFormatPr defaultColWidth="9" defaultRowHeight="14.25"/>
  <cols>
    <col min="1" max="1" width="27.09765625" style="53" customWidth="1"/>
    <col min="2" max="2" width="12.59765625" style="53" customWidth="1"/>
    <col min="3" max="4" width="11.19921875" style="53" customWidth="1"/>
    <col min="5" max="5" width="13.69921875" style="53" customWidth="1"/>
    <col min="6" max="16384" width="9" style="53" customWidth="1"/>
  </cols>
  <sheetData>
    <row r="1" spans="4:5" ht="18">
      <c r="D1" s="148" t="s">
        <v>264</v>
      </c>
      <c r="E1" s="148"/>
    </row>
    <row r="2" spans="1:5" ht="75.75" customHeight="1">
      <c r="A2" s="149" t="s">
        <v>265</v>
      </c>
      <c r="B2" s="149"/>
      <c r="C2" s="149"/>
      <c r="D2" s="149"/>
      <c r="E2" s="149"/>
    </row>
    <row r="4" spans="1:5" ht="75" customHeight="1">
      <c r="A4" s="150" t="s">
        <v>266</v>
      </c>
      <c r="B4" s="150" t="s">
        <v>30</v>
      </c>
      <c r="C4" s="150" t="s">
        <v>267</v>
      </c>
      <c r="D4" s="150"/>
      <c r="E4" s="150"/>
    </row>
    <row r="5" spans="1:5" ht="18">
      <c r="A5" s="150"/>
      <c r="B5" s="150"/>
      <c r="C5" s="23" t="str">
        <f>'1 Доходы  '!$N$1&amp;" год"</f>
        <v>2017 год</v>
      </c>
      <c r="D5" s="23" t="str">
        <f>'1 Доходы  '!$N$1+1&amp;" год"</f>
        <v>2018 год</v>
      </c>
      <c r="E5" s="23" t="str">
        <f>'1 Доходы  '!$N$1+2&amp;" год"</f>
        <v>2019 год</v>
      </c>
    </row>
    <row r="6" spans="1:5" s="74" customFormat="1" ht="18">
      <c r="A6" s="59" t="s">
        <v>263</v>
      </c>
      <c r="B6" s="59"/>
      <c r="C6" s="40">
        <v>8.759</v>
      </c>
      <c r="D6" s="40"/>
      <c r="E6" s="40"/>
    </row>
    <row r="7" spans="1:5" ht="18">
      <c r="A7" s="59" t="s">
        <v>262</v>
      </c>
      <c r="B7" s="59"/>
      <c r="C7" s="40">
        <v>0.48</v>
      </c>
      <c r="D7" s="40"/>
      <c r="E7" s="40"/>
    </row>
    <row r="8" spans="1:5" ht="18">
      <c r="A8" s="59" t="s">
        <v>261</v>
      </c>
      <c r="B8" s="59"/>
      <c r="C8" s="40">
        <v>0.202</v>
      </c>
      <c r="D8" s="40"/>
      <c r="E8" s="40"/>
    </row>
    <row r="9" spans="1:10" ht="18">
      <c r="A9" s="59" t="s">
        <v>260</v>
      </c>
      <c r="B9" s="59"/>
      <c r="C9" s="40">
        <v>101.621</v>
      </c>
      <c r="D9" s="40"/>
      <c r="E9" s="40"/>
      <c r="F9" s="4"/>
      <c r="G9" s="4"/>
      <c r="H9" s="4"/>
      <c r="I9" s="4"/>
      <c r="J9" s="4"/>
    </row>
    <row r="10" spans="1:5" ht="18">
      <c r="A10" s="59" t="s">
        <v>259</v>
      </c>
      <c r="B10" s="59"/>
      <c r="C10" s="40">
        <v>24.84</v>
      </c>
      <c r="D10" s="40"/>
      <c r="E10" s="40"/>
    </row>
    <row r="11" spans="1:5" ht="18">
      <c r="A11" s="59" t="s">
        <v>258</v>
      </c>
      <c r="B11" s="59"/>
      <c r="C11" s="40">
        <v>0.11</v>
      </c>
      <c r="D11" s="40"/>
      <c r="E11" s="40"/>
    </row>
    <row r="12" spans="1:5" ht="18">
      <c r="A12" s="59" t="s">
        <v>257</v>
      </c>
      <c r="B12" s="59"/>
      <c r="C12" s="40">
        <v>31.1</v>
      </c>
      <c r="D12" s="40"/>
      <c r="E12" s="40"/>
    </row>
    <row r="13" spans="1:5" ht="159.75" customHeight="1">
      <c r="A13" s="151" t="s">
        <v>268</v>
      </c>
      <c r="B13" s="151"/>
      <c r="C13" s="151"/>
      <c r="D13" s="151"/>
      <c r="E13" s="151"/>
    </row>
  </sheetData>
  <sheetProtection/>
  <mergeCells count="6">
    <mergeCell ref="D1:E1"/>
    <mergeCell ref="A2:E2"/>
    <mergeCell ref="A4:A5"/>
    <mergeCell ref="B4:B5"/>
    <mergeCell ref="C4:E4"/>
    <mergeCell ref="A13:E13"/>
  </mergeCells>
  <printOptions/>
  <pageMargins left="1.1902777777777778" right="0.4597222222222222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tabSelected="1" view="pageBreakPreview" zoomScale="75" zoomScaleNormal="75" zoomScaleSheetLayoutView="75" zoomScalePageLayoutView="0" workbookViewId="0" topLeftCell="A1">
      <selection activeCell="E15" sqref="E15"/>
    </sheetView>
  </sheetViews>
  <sheetFormatPr defaultColWidth="9" defaultRowHeight="14.25"/>
  <cols>
    <col min="1" max="1" width="69.3984375" style="5" customWidth="1"/>
    <col min="2" max="2" width="8.19921875" style="69" customWidth="1"/>
    <col min="3" max="3" width="15.3984375" style="22" customWidth="1"/>
    <col min="4" max="4" width="15.59765625" style="22" customWidth="1"/>
    <col min="5" max="5" width="16.5" style="22" customWidth="1"/>
    <col min="6" max="6" width="17.69921875" style="5" customWidth="1"/>
    <col min="7" max="7" width="16.5" style="5" customWidth="1"/>
    <col min="8" max="8" width="15.8984375" style="5" customWidth="1"/>
    <col min="9" max="9" width="16.5" style="5" customWidth="1"/>
    <col min="10" max="10" width="16.3984375" style="5" customWidth="1"/>
    <col min="11" max="11" width="22.09765625" style="5" customWidth="1"/>
    <col min="12" max="13" width="11.59765625" style="5" customWidth="1"/>
    <col min="14" max="14" width="11" style="5" customWidth="1"/>
    <col min="15" max="16384" width="9" style="5" customWidth="1"/>
  </cols>
  <sheetData>
    <row r="1" spans="5:6" ht="21" customHeight="1">
      <c r="E1" s="17"/>
      <c r="F1" s="82" t="s">
        <v>6</v>
      </c>
    </row>
    <row r="2" spans="1:6" ht="20.25" customHeight="1">
      <c r="A2" s="118" t="s">
        <v>342</v>
      </c>
      <c r="B2" s="118"/>
      <c r="C2" s="118"/>
      <c r="D2" s="118"/>
      <c r="E2" s="118"/>
      <c r="F2" s="118"/>
    </row>
    <row r="3" spans="1:6" ht="18.75" customHeight="1">
      <c r="A3" s="118" t="s">
        <v>336</v>
      </c>
      <c r="B3" s="118"/>
      <c r="C3" s="118"/>
      <c r="D3" s="118"/>
      <c r="E3" s="118"/>
      <c r="F3" s="118"/>
    </row>
    <row r="4" spans="1:6" ht="12.75">
      <c r="A4" s="7"/>
      <c r="B4" s="68"/>
      <c r="C4" s="65"/>
      <c r="D4" s="65"/>
      <c r="E4" s="17"/>
      <c r="F4" s="17"/>
    </row>
    <row r="5" spans="1:6" ht="47.25" customHeight="1">
      <c r="A5" s="119" t="s">
        <v>7</v>
      </c>
      <c r="B5" s="119" t="s">
        <v>8</v>
      </c>
      <c r="C5" s="119" t="s">
        <v>3</v>
      </c>
      <c r="D5" s="119"/>
      <c r="E5" s="119"/>
      <c r="F5" s="119"/>
    </row>
    <row r="6" spans="1:6" ht="21.75" customHeight="1">
      <c r="A6" s="119"/>
      <c r="B6" s="119"/>
      <c r="C6" s="119" t="str">
        <f>'1 Доходы  '!$N$1&amp;" год"</f>
        <v>2017 год</v>
      </c>
      <c r="D6" s="119"/>
      <c r="E6" s="19" t="str">
        <f>'1 Доходы  '!$N$1+1&amp;" год"</f>
        <v>2018 год</v>
      </c>
      <c r="F6" s="19" t="str">
        <f>'1 Доходы  '!$N$1+2&amp;" год"</f>
        <v>2019 год</v>
      </c>
    </row>
    <row r="7" spans="1:6" ht="36">
      <c r="A7" s="119"/>
      <c r="B7" s="119"/>
      <c r="C7" s="1" t="s">
        <v>4</v>
      </c>
      <c r="D7" s="1" t="s">
        <v>5</v>
      </c>
      <c r="E7" s="19" t="s">
        <v>4</v>
      </c>
      <c r="F7" s="19" t="s">
        <v>4</v>
      </c>
    </row>
    <row r="8" spans="1:6" ht="18">
      <c r="A8" s="12">
        <v>1</v>
      </c>
      <c r="B8" s="12">
        <v>2</v>
      </c>
      <c r="C8" s="12">
        <v>3</v>
      </c>
      <c r="D8" s="12">
        <v>4</v>
      </c>
      <c r="E8" s="63">
        <v>5</v>
      </c>
      <c r="F8" s="63">
        <v>6</v>
      </c>
    </row>
    <row r="9" spans="1:7" ht="91.5" customHeight="1">
      <c r="A9" s="50" t="s">
        <v>340</v>
      </c>
      <c r="B9" s="11">
        <v>1</v>
      </c>
      <c r="C9" s="47"/>
      <c r="D9" s="47">
        <f>2060651.4/1000</f>
        <v>2060.6513999999997</v>
      </c>
      <c r="E9" s="3">
        <f>1731893/1000</f>
        <v>1731.893</v>
      </c>
      <c r="F9" s="3">
        <f>1892723/1000</f>
        <v>1892.723</v>
      </c>
      <c r="G9" s="110"/>
    </row>
    <row r="10" spans="1:6" ht="18">
      <c r="A10" s="31" t="s">
        <v>280</v>
      </c>
      <c r="B10" s="11">
        <v>2</v>
      </c>
      <c r="C10" s="3">
        <f>266433.031/1000</f>
        <v>266.433031</v>
      </c>
      <c r="D10" s="3">
        <f>265753.798/1000</f>
        <v>265.753798</v>
      </c>
      <c r="E10" s="3">
        <f>0/1000</f>
        <v>0</v>
      </c>
      <c r="F10" s="3">
        <f>0/1000</f>
        <v>0</v>
      </c>
    </row>
    <row r="11" spans="1:8" s="36" customFormat="1" ht="75.75" customHeight="1">
      <c r="A11" s="95" t="s">
        <v>281</v>
      </c>
      <c r="B11" s="11">
        <v>3</v>
      </c>
      <c r="C11" s="9">
        <f>C12+C17+C20+C21+C22+C23+C24+C25+C30</f>
        <v>2053.94</v>
      </c>
      <c r="D11" s="41">
        <f>D12+D17+D20+D21+D22+D23+D24+D25+D30</f>
        <v>2045.574614</v>
      </c>
      <c r="E11" s="9">
        <f>E12+E17+E20+E21+E22+E23+E24+E25+E30</f>
        <v>1731.893</v>
      </c>
      <c r="F11" s="9">
        <f>F12+F17+F20+F21+F22+F23+F24+F25+F30</f>
        <v>1892.723</v>
      </c>
      <c r="G11" s="55"/>
      <c r="H11" s="55"/>
    </row>
    <row r="12" spans="1:6" s="36" customFormat="1" ht="72">
      <c r="A12" s="14" t="s">
        <v>282</v>
      </c>
      <c r="B12" s="11">
        <v>4</v>
      </c>
      <c r="C12" s="41">
        <f>C13+C14+C15+C16</f>
        <v>1396.562027</v>
      </c>
      <c r="D12" s="9">
        <f>D13+D14+D15+D16</f>
        <v>1393.3883</v>
      </c>
      <c r="E12" s="9">
        <f>E13+E14+E15+E16</f>
        <v>1205.3453</v>
      </c>
      <c r="F12" s="9">
        <f>F13+F14+F15+F16</f>
        <v>1375.878709</v>
      </c>
    </row>
    <row r="13" spans="1:6" ht="39" customHeight="1">
      <c r="A13" s="43" t="s">
        <v>9</v>
      </c>
      <c r="B13" s="11">
        <v>5</v>
      </c>
      <c r="C13" s="3">
        <f>24614.667/1000</f>
        <v>24.614667</v>
      </c>
      <c r="D13" s="3">
        <f>23191.1/1000</f>
        <v>23.1911</v>
      </c>
      <c r="E13" s="3">
        <f>24500/1000</f>
        <v>24.5</v>
      </c>
      <c r="F13" s="3">
        <f>24500/1000</f>
        <v>24.5</v>
      </c>
    </row>
    <row r="14" spans="1:6" ht="36">
      <c r="A14" s="43" t="s">
        <v>10</v>
      </c>
      <c r="B14" s="11">
        <v>6</v>
      </c>
      <c r="C14" s="3">
        <f>371857.493/1000</f>
        <v>371.85749300000003</v>
      </c>
      <c r="D14" s="3">
        <f>371857.5/1000</f>
        <v>371.8575</v>
      </c>
      <c r="E14" s="3">
        <f>175659.161/1000</f>
        <v>175.65916099999998</v>
      </c>
      <c r="F14" s="3">
        <f>303357.695/1000</f>
        <v>303.35769500000004</v>
      </c>
    </row>
    <row r="15" spans="1:6" ht="36">
      <c r="A15" s="43" t="s">
        <v>11</v>
      </c>
      <c r="B15" s="11">
        <v>7</v>
      </c>
      <c r="C15" s="3">
        <f>1000089.867/1000</f>
        <v>1000.0898669999999</v>
      </c>
      <c r="D15" s="3">
        <f>998339.7/1000</f>
        <v>998.3397</v>
      </c>
      <c r="E15" s="3">
        <f>1005186.139/1000</f>
        <v>1005.1861389999999</v>
      </c>
      <c r="F15" s="3">
        <f>1048021.014/1000</f>
        <v>1048.021014</v>
      </c>
    </row>
    <row r="16" spans="1:6" ht="36">
      <c r="A16" s="43" t="s">
        <v>12</v>
      </c>
      <c r="B16" s="11">
        <v>8</v>
      </c>
      <c r="C16" s="3">
        <f>0/1000</f>
        <v>0</v>
      </c>
      <c r="D16" s="3">
        <f>0/1000</f>
        <v>0</v>
      </c>
      <c r="E16" s="3">
        <f>0/1000</f>
        <v>0</v>
      </c>
      <c r="F16" s="3">
        <f>0/1000</f>
        <v>0</v>
      </c>
    </row>
    <row r="17" spans="1:6" s="36" customFormat="1" ht="56.25" customHeight="1">
      <c r="A17" s="14" t="s">
        <v>13</v>
      </c>
      <c r="B17" s="11">
        <v>9</v>
      </c>
      <c r="C17" s="9">
        <f>C18+C19</f>
        <v>56.284834000000004</v>
      </c>
      <c r="D17" s="9">
        <f>D18+D19</f>
        <v>55.332899999999995</v>
      </c>
      <c r="E17" s="9">
        <f>E18+E19</f>
        <v>102</v>
      </c>
      <c r="F17" s="9">
        <f>F18+F19</f>
        <v>112</v>
      </c>
    </row>
    <row r="18" spans="1:6" ht="81" customHeight="1">
      <c r="A18" s="43" t="s">
        <v>283</v>
      </c>
      <c r="B18" s="11">
        <v>10</v>
      </c>
      <c r="C18" s="3">
        <f>213.341/1000</f>
        <v>0.213341</v>
      </c>
      <c r="D18" s="3">
        <f>213.3/1000</f>
        <v>0.21330000000000002</v>
      </c>
      <c r="E18" s="3">
        <f>7000/1000</f>
        <v>7</v>
      </c>
      <c r="F18" s="3">
        <f>7000/1000</f>
        <v>7</v>
      </c>
    </row>
    <row r="19" spans="1:6" ht="30" customHeight="1">
      <c r="A19" s="43" t="s">
        <v>14</v>
      </c>
      <c r="B19" s="11">
        <v>11</v>
      </c>
      <c r="C19" s="3">
        <f>56071.493/1000</f>
        <v>56.071493000000004</v>
      </c>
      <c r="D19" s="3">
        <f>(55119.6)/1000</f>
        <v>55.1196</v>
      </c>
      <c r="E19" s="3">
        <f>95000/1000</f>
        <v>95</v>
      </c>
      <c r="F19" s="3">
        <f>105000/1000</f>
        <v>105</v>
      </c>
    </row>
    <row r="20" spans="1:6" ht="36">
      <c r="A20" s="14" t="s">
        <v>15</v>
      </c>
      <c r="B20" s="11">
        <v>12</v>
      </c>
      <c r="C20" s="3">
        <f aca="true" t="shared" si="0" ref="C20:F21">0/1000</f>
        <v>0</v>
      </c>
      <c r="D20" s="3">
        <f t="shared" si="0"/>
        <v>0</v>
      </c>
      <c r="E20" s="3">
        <f t="shared" si="0"/>
        <v>0</v>
      </c>
      <c r="F20" s="3">
        <f t="shared" si="0"/>
        <v>0</v>
      </c>
    </row>
    <row r="21" spans="1:6" ht="36">
      <c r="A21" s="14" t="s">
        <v>16</v>
      </c>
      <c r="B21" s="11">
        <v>13</v>
      </c>
      <c r="C21" s="3">
        <f t="shared" si="0"/>
        <v>0</v>
      </c>
      <c r="D21" s="3">
        <f t="shared" si="0"/>
        <v>0</v>
      </c>
      <c r="E21" s="3">
        <f t="shared" si="0"/>
        <v>0</v>
      </c>
      <c r="F21" s="3">
        <f t="shared" si="0"/>
        <v>0</v>
      </c>
    </row>
    <row r="22" spans="1:6" ht="36">
      <c r="A22" s="14" t="s">
        <v>17</v>
      </c>
      <c r="B22" s="11">
        <v>14</v>
      </c>
      <c r="C22" s="3">
        <f>50917.941/1000</f>
        <v>50.917941</v>
      </c>
      <c r="D22" s="3">
        <f>50135/1000</f>
        <v>50.135</v>
      </c>
      <c r="E22" s="3">
        <f>163802.119/1000</f>
        <v>163.802119</v>
      </c>
      <c r="F22" s="3">
        <f>167498.291/1000</f>
        <v>167.498291</v>
      </c>
    </row>
    <row r="23" spans="1:6" ht="143.25" customHeight="1">
      <c r="A23" s="14" t="s">
        <v>18</v>
      </c>
      <c r="B23" s="11">
        <v>15</v>
      </c>
      <c r="C23" s="3">
        <f>65.082/1000</f>
        <v>0.06508199999999999</v>
      </c>
      <c r="D23" s="3">
        <f>65.082/1000</f>
        <v>0.06508199999999999</v>
      </c>
      <c r="E23" s="3">
        <f>0/1000</f>
        <v>0</v>
      </c>
      <c r="F23" s="3">
        <f>0/1000</f>
        <v>0</v>
      </c>
    </row>
    <row r="24" spans="1:6" ht="72">
      <c r="A24" s="31" t="s">
        <v>284</v>
      </c>
      <c r="B24" s="11">
        <v>16</v>
      </c>
      <c r="C24" s="3">
        <f>0/1000</f>
        <v>0</v>
      </c>
      <c r="D24" s="3">
        <f>0/1000</f>
        <v>0</v>
      </c>
      <c r="E24" s="3">
        <f>0/1000</f>
        <v>0</v>
      </c>
      <c r="F24" s="3">
        <f>0/1000</f>
        <v>0</v>
      </c>
    </row>
    <row r="25" spans="1:6" s="36" customFormat="1" ht="54">
      <c r="A25" s="14" t="s">
        <v>285</v>
      </c>
      <c r="B25" s="11">
        <v>17</v>
      </c>
      <c r="C25" s="9">
        <f>C26+C27+C28+C29</f>
        <v>420.363959</v>
      </c>
      <c r="D25" s="41">
        <f>D26+D27+D28+D29</f>
        <v>416.907175</v>
      </c>
      <c r="E25" s="9">
        <f>E26+E27+E28+E29</f>
        <v>260.745581</v>
      </c>
      <c r="F25" s="9">
        <f>F26+F27+F28+F29</f>
        <v>237.346</v>
      </c>
    </row>
    <row r="26" spans="1:6" s="17" customFormat="1" ht="162">
      <c r="A26" s="61" t="s">
        <v>286</v>
      </c>
      <c r="B26" s="11">
        <v>18</v>
      </c>
      <c r="C26" s="3">
        <f>238469.904/1000</f>
        <v>238.469904</v>
      </c>
      <c r="D26" s="3">
        <f>235509.868/1000</f>
        <v>235.50986799999998</v>
      </c>
      <c r="E26" s="3">
        <f>153218.481/1000</f>
        <v>153.218481</v>
      </c>
      <c r="F26" s="3">
        <f>127066/1000</f>
        <v>127.066</v>
      </c>
    </row>
    <row r="27" spans="1:6" ht="36">
      <c r="A27" s="61" t="s">
        <v>19</v>
      </c>
      <c r="B27" s="11">
        <v>19</v>
      </c>
      <c r="C27" s="3">
        <f aca="true" t="shared" si="1" ref="C27:F28">0/1000</f>
        <v>0</v>
      </c>
      <c r="D27" s="3">
        <f t="shared" si="1"/>
        <v>0</v>
      </c>
      <c r="E27" s="3">
        <f t="shared" si="1"/>
        <v>0</v>
      </c>
      <c r="F27" s="3">
        <f t="shared" si="1"/>
        <v>0</v>
      </c>
    </row>
    <row r="28" spans="1:6" ht="54">
      <c r="A28" s="61" t="s">
        <v>20</v>
      </c>
      <c r="B28" s="11">
        <v>20</v>
      </c>
      <c r="C28" s="3">
        <f t="shared" si="1"/>
        <v>0</v>
      </c>
      <c r="D28" s="3">
        <f t="shared" si="1"/>
        <v>0</v>
      </c>
      <c r="E28" s="3">
        <f t="shared" si="1"/>
        <v>0</v>
      </c>
      <c r="F28" s="3">
        <f t="shared" si="1"/>
        <v>0</v>
      </c>
    </row>
    <row r="29" spans="1:6" ht="54">
      <c r="A29" s="43" t="s">
        <v>287</v>
      </c>
      <c r="B29" s="11">
        <v>21</v>
      </c>
      <c r="C29" s="3">
        <f>181894.055/1000</f>
        <v>181.89405499999998</v>
      </c>
      <c r="D29" s="3">
        <f>181397.307/1000</f>
        <v>181.397307</v>
      </c>
      <c r="E29" s="3">
        <f>107527.1/1000</f>
        <v>107.5271</v>
      </c>
      <c r="F29" s="3">
        <f>110280/1000</f>
        <v>110.28</v>
      </c>
    </row>
    <row r="30" spans="1:6" ht="54">
      <c r="A30" s="14" t="s">
        <v>288</v>
      </c>
      <c r="B30" s="11">
        <v>22</v>
      </c>
      <c r="C30" s="3">
        <f>129746.157/1000</f>
        <v>129.746157</v>
      </c>
      <c r="D30" s="3">
        <f>129746.157/1000</f>
        <v>129.746157</v>
      </c>
      <c r="E30" s="3">
        <f>0/1000</f>
        <v>0</v>
      </c>
      <c r="F30" s="3">
        <f>0/1000</f>
        <v>0</v>
      </c>
    </row>
    <row r="31" spans="1:6" ht="69">
      <c r="A31" s="70" t="s">
        <v>289</v>
      </c>
      <c r="B31" s="11">
        <v>23</v>
      </c>
      <c r="C31" s="3">
        <f>125429.9/1000</f>
        <v>125.42989999999999</v>
      </c>
      <c r="D31" s="3">
        <f>125429.9/1000</f>
        <v>125.42989999999999</v>
      </c>
      <c r="E31" s="3">
        <f>125000/1000</f>
        <v>125</v>
      </c>
      <c r="F31" s="3">
        <f>125000/1000</f>
        <v>125</v>
      </c>
    </row>
    <row r="33" ht="22.5" customHeight="1"/>
    <row r="34" ht="20.25" customHeight="1"/>
  </sheetData>
  <sheetProtection/>
  <mergeCells count="6">
    <mergeCell ref="A2:F2"/>
    <mergeCell ref="A3:F3"/>
    <mergeCell ref="A5:A7"/>
    <mergeCell ref="B5:B7"/>
    <mergeCell ref="C5:F5"/>
    <mergeCell ref="C6:D6"/>
  </mergeCells>
  <printOptions/>
  <pageMargins left="0.984251968503937" right="0.1968503937007874" top="0.5905511811023623" bottom="0" header="0.5118110236220472" footer="0.5118110236220472"/>
  <pageSetup fitToHeight="3" fitToWidth="1" horizontalDpi="300" verticalDpi="300" orientation="landscape" paperSize="9" scale="80" r:id="rId1"/>
  <colBreaks count="1" manualBreakCount="1">
    <brk id="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15"/>
  <sheetViews>
    <sheetView view="pageBreakPreview" zoomScale="75" zoomScaleNormal="75" zoomScaleSheetLayoutView="75" zoomScalePageLayoutView="0" workbookViewId="0" topLeftCell="A1">
      <selection activeCell="A13" sqref="A13"/>
    </sheetView>
  </sheetViews>
  <sheetFormatPr defaultColWidth="9" defaultRowHeight="14.25"/>
  <cols>
    <col min="1" max="1" width="83" style="5" customWidth="1"/>
    <col min="2" max="2" width="11.09765625" style="22" customWidth="1"/>
    <col min="3" max="3" width="12.59765625" style="22" customWidth="1"/>
    <col min="4" max="4" width="23" style="22" customWidth="1"/>
    <col min="5" max="16384" width="9" style="5" customWidth="1"/>
  </cols>
  <sheetData>
    <row r="1" ht="18">
      <c r="D1" s="28" t="s">
        <v>28</v>
      </c>
    </row>
    <row r="2" spans="1:4" ht="32.25" customHeight="1">
      <c r="A2" s="118" t="s">
        <v>343</v>
      </c>
      <c r="B2" s="118"/>
      <c r="C2" s="118"/>
      <c r="D2" s="118"/>
    </row>
    <row r="3" spans="1:4" ht="12.75" customHeight="1">
      <c r="A3" s="124"/>
      <c r="B3" s="124"/>
      <c r="C3" s="124"/>
      <c r="D3" s="124"/>
    </row>
    <row r="4" spans="1:4" ht="61.5" customHeight="1">
      <c r="A4" s="39" t="s">
        <v>29</v>
      </c>
      <c r="B4" s="81" t="s">
        <v>8</v>
      </c>
      <c r="C4" s="39" t="s">
        <v>30</v>
      </c>
      <c r="D4" s="39" t="s">
        <v>279</v>
      </c>
    </row>
    <row r="5" spans="1:4" ht="54" customHeight="1">
      <c r="A5" s="42" t="s">
        <v>31</v>
      </c>
      <c r="B5" s="11">
        <v>1</v>
      </c>
      <c r="C5" s="11" t="s">
        <v>32</v>
      </c>
      <c r="D5" s="24">
        <f>23</f>
        <v>23</v>
      </c>
    </row>
    <row r="6" spans="1:4" ht="56.25" customHeight="1">
      <c r="A6" s="42" t="s">
        <v>34</v>
      </c>
      <c r="B6" s="11">
        <v>2</v>
      </c>
      <c r="C6" s="11" t="s">
        <v>35</v>
      </c>
      <c r="D6" s="24">
        <f>0.75</f>
        <v>0.75</v>
      </c>
    </row>
    <row r="7" spans="1:4" ht="47.25" customHeight="1">
      <c r="A7" s="42" t="s">
        <v>37</v>
      </c>
      <c r="B7" s="11">
        <v>3</v>
      </c>
      <c r="C7" s="11" t="s">
        <v>32</v>
      </c>
      <c r="D7" s="24">
        <f>0</f>
        <v>0</v>
      </c>
    </row>
    <row r="8" spans="1:4" ht="57" customHeight="1">
      <c r="A8" s="42" t="s">
        <v>39</v>
      </c>
      <c r="B8" s="11">
        <v>4</v>
      </c>
      <c r="C8" s="11" t="s">
        <v>35</v>
      </c>
      <c r="D8" s="24">
        <f>0</f>
        <v>0</v>
      </c>
    </row>
    <row r="9" spans="1:4" ht="58.5" customHeight="1">
      <c r="A9" s="42" t="s">
        <v>41</v>
      </c>
      <c r="B9" s="11">
        <v>5</v>
      </c>
      <c r="C9" s="11" t="s">
        <v>32</v>
      </c>
      <c r="D9" s="24">
        <f>0</f>
        <v>0</v>
      </c>
    </row>
    <row r="10" spans="1:4" ht="58.5" customHeight="1">
      <c r="A10" s="42" t="s">
        <v>43</v>
      </c>
      <c r="B10" s="11">
        <v>6</v>
      </c>
      <c r="C10" s="11" t="s">
        <v>32</v>
      </c>
      <c r="D10" s="24">
        <f>0</f>
        <v>0</v>
      </c>
    </row>
    <row r="11" spans="1:4" ht="72">
      <c r="A11" s="42" t="s">
        <v>45</v>
      </c>
      <c r="B11" s="11">
        <v>7</v>
      </c>
      <c r="C11" s="11" t="s">
        <v>46</v>
      </c>
      <c r="D11" s="24">
        <f>11</f>
        <v>11</v>
      </c>
    </row>
    <row r="12" spans="1:4" ht="75" customHeight="1">
      <c r="A12" s="42" t="s">
        <v>48</v>
      </c>
      <c r="B12" s="11">
        <v>8</v>
      </c>
      <c r="C12" s="11" t="s">
        <v>49</v>
      </c>
      <c r="D12" s="24">
        <f>1.13</f>
        <v>1.13</v>
      </c>
    </row>
    <row r="13" spans="1:4" ht="37.5" customHeight="1">
      <c r="A13" s="42" t="s">
        <v>51</v>
      </c>
      <c r="B13" s="11">
        <v>9</v>
      </c>
      <c r="C13" s="11" t="s">
        <v>46</v>
      </c>
      <c r="D13" s="24">
        <f>104</f>
        <v>104</v>
      </c>
    </row>
    <row r="14" spans="1:4" ht="37.5" customHeight="1">
      <c r="A14" s="42" t="s">
        <v>53</v>
      </c>
      <c r="B14" s="11">
        <v>10</v>
      </c>
      <c r="C14" s="11" t="s">
        <v>46</v>
      </c>
      <c r="D14" s="24">
        <f>0</f>
        <v>0</v>
      </c>
    </row>
    <row r="15" spans="1:4" ht="37.5" customHeight="1">
      <c r="A15" s="42" t="s">
        <v>55</v>
      </c>
      <c r="B15" s="11">
        <v>11</v>
      </c>
      <c r="C15" s="11" t="s">
        <v>46</v>
      </c>
      <c r="D15" s="24">
        <f>0</f>
        <v>0</v>
      </c>
    </row>
  </sheetData>
  <sheetProtection/>
  <mergeCells count="2">
    <mergeCell ref="A2:D2"/>
    <mergeCell ref="A3:D3"/>
  </mergeCells>
  <printOptions horizontalCentered="1"/>
  <pageMargins left="0.6692913385826772" right="0.3937007874015748" top="0.8661417322834646" bottom="0.5905511811023623" header="0.5118110236220472" footer="0.5118110236220472"/>
  <pageSetup horizontalDpi="300" verticalDpi="300" orientation="landscape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4"/>
  <sheetViews>
    <sheetView view="pageBreakPreview" zoomScale="75" zoomScaleNormal="75" zoomScaleSheetLayoutView="75" zoomScalePageLayoutView="0" workbookViewId="0" topLeftCell="A28">
      <selection activeCell="A2" sqref="A2:F2"/>
    </sheetView>
  </sheetViews>
  <sheetFormatPr defaultColWidth="9" defaultRowHeight="14.25"/>
  <cols>
    <col min="1" max="1" width="68.3984375" style="5" customWidth="1"/>
    <col min="2" max="2" width="10.3984375" style="5" customWidth="1"/>
    <col min="3" max="3" width="11.8984375" style="22" customWidth="1"/>
    <col min="4" max="4" width="14.09765625" style="22" customWidth="1"/>
    <col min="5" max="5" width="15" style="22" customWidth="1"/>
    <col min="6" max="6" width="14.59765625" style="22" customWidth="1"/>
    <col min="7" max="7" width="15.19921875" style="5" customWidth="1"/>
    <col min="8" max="16384" width="9" style="5" customWidth="1"/>
  </cols>
  <sheetData>
    <row r="1" spans="1:7" ht="18">
      <c r="A1" s="116" t="s">
        <v>57</v>
      </c>
      <c r="B1" s="117"/>
      <c r="C1" s="117"/>
      <c r="D1" s="117"/>
      <c r="E1" s="117"/>
      <c r="F1" s="117"/>
      <c r="G1" s="117"/>
    </row>
    <row r="2" spans="1:6" ht="22.5" customHeight="1">
      <c r="A2" s="118" t="s">
        <v>344</v>
      </c>
      <c r="B2" s="118"/>
      <c r="C2" s="118"/>
      <c r="D2" s="118"/>
      <c r="E2" s="118"/>
      <c r="F2" s="118"/>
    </row>
    <row r="3" spans="1:6" ht="1.5" customHeight="1">
      <c r="A3" s="124"/>
      <c r="B3" s="124"/>
      <c r="C3" s="124"/>
      <c r="D3" s="124"/>
      <c r="E3" s="124"/>
      <c r="F3" s="124"/>
    </row>
    <row r="4" spans="1:7" ht="18.75" customHeight="1">
      <c r="A4" s="119" t="s">
        <v>29</v>
      </c>
      <c r="B4" s="121" t="s">
        <v>8</v>
      </c>
      <c r="C4" s="119" t="s">
        <v>30</v>
      </c>
      <c r="D4" s="119" t="s">
        <v>58</v>
      </c>
      <c r="E4" s="119"/>
      <c r="F4" s="119"/>
      <c r="G4" s="119"/>
    </row>
    <row r="5" spans="1:7" ht="18.75" customHeight="1">
      <c r="A5" s="119"/>
      <c r="B5" s="122"/>
      <c r="C5" s="119"/>
      <c r="D5" s="119" t="str">
        <f>'1 Доходы  '!$N$1&amp;" год"</f>
        <v>2017 год</v>
      </c>
      <c r="E5" s="119"/>
      <c r="F5" s="1" t="str">
        <f>'1 Доходы  '!$N$1+1&amp;" год"</f>
        <v>2018 год</v>
      </c>
      <c r="G5" s="1" t="str">
        <f>'1 Доходы  '!$N$1+2&amp;" год"</f>
        <v>2019 год</v>
      </c>
    </row>
    <row r="6" spans="1:7" ht="36">
      <c r="A6" s="119"/>
      <c r="B6" s="123"/>
      <c r="C6" s="119"/>
      <c r="D6" s="1" t="s">
        <v>4</v>
      </c>
      <c r="E6" s="1" t="s">
        <v>5</v>
      </c>
      <c r="F6" s="1" t="s">
        <v>4</v>
      </c>
      <c r="G6" s="1" t="s">
        <v>4</v>
      </c>
    </row>
    <row r="7" spans="1:7" ht="36">
      <c r="A7" s="42" t="s">
        <v>59</v>
      </c>
      <c r="B7" s="11">
        <v>1</v>
      </c>
      <c r="C7" s="11" t="s">
        <v>32</v>
      </c>
      <c r="D7" s="34">
        <f>1.117</f>
        <v>1.117</v>
      </c>
      <c r="E7" s="34">
        <f>1.117</f>
        <v>1.117</v>
      </c>
      <c r="F7" s="34">
        <f aca="true" t="shared" si="0" ref="F7:G24">0</f>
        <v>0</v>
      </c>
      <c r="G7" s="34">
        <f t="shared" si="0"/>
        <v>0</v>
      </c>
    </row>
    <row r="8" spans="1:7" s="17" customFormat="1" ht="55.5" customHeight="1">
      <c r="A8" s="42" t="s">
        <v>64</v>
      </c>
      <c r="B8" s="11">
        <v>2</v>
      </c>
      <c r="C8" s="11" t="s">
        <v>32</v>
      </c>
      <c r="D8" s="34">
        <f>1.11</f>
        <v>1.11</v>
      </c>
      <c r="E8" s="34">
        <f>1.11</f>
        <v>1.11</v>
      </c>
      <c r="F8" s="34">
        <f t="shared" si="0"/>
        <v>0</v>
      </c>
      <c r="G8" s="34">
        <f t="shared" si="0"/>
        <v>0</v>
      </c>
    </row>
    <row r="9" spans="1:7" s="17" customFormat="1" ht="72">
      <c r="A9" s="42" t="s">
        <v>69</v>
      </c>
      <c r="B9" s="11">
        <v>3</v>
      </c>
      <c r="C9" s="11" t="s">
        <v>32</v>
      </c>
      <c r="D9" s="34">
        <f>2.21</f>
        <v>2.21</v>
      </c>
      <c r="E9" s="34">
        <f>2.531</f>
        <v>2.531</v>
      </c>
      <c r="F9" s="34">
        <f t="shared" si="0"/>
        <v>0</v>
      </c>
      <c r="G9" s="34">
        <f t="shared" si="0"/>
        <v>0</v>
      </c>
    </row>
    <row r="10" spans="1:7" ht="36">
      <c r="A10" s="57" t="s">
        <v>74</v>
      </c>
      <c r="B10" s="11">
        <v>4</v>
      </c>
      <c r="C10" s="11" t="s">
        <v>32</v>
      </c>
      <c r="D10" s="34">
        <f aca="true" t="shared" si="1" ref="D10:E18">0</f>
        <v>0</v>
      </c>
      <c r="E10" s="34">
        <f t="shared" si="1"/>
        <v>0</v>
      </c>
      <c r="F10" s="34">
        <f t="shared" si="0"/>
        <v>0</v>
      </c>
      <c r="G10" s="34">
        <f t="shared" si="0"/>
        <v>0</v>
      </c>
    </row>
    <row r="11" spans="1:7" ht="54">
      <c r="A11" s="42" t="s">
        <v>79</v>
      </c>
      <c r="B11" s="11">
        <v>5</v>
      </c>
      <c r="C11" s="11" t="s">
        <v>80</v>
      </c>
      <c r="D11" s="34">
        <f t="shared" si="1"/>
        <v>0</v>
      </c>
      <c r="E11" s="34">
        <f t="shared" si="1"/>
        <v>0</v>
      </c>
      <c r="F11" s="34">
        <f t="shared" si="0"/>
        <v>0</v>
      </c>
      <c r="G11" s="34">
        <f t="shared" si="0"/>
        <v>0</v>
      </c>
    </row>
    <row r="12" spans="1:7" ht="60.75" customHeight="1">
      <c r="A12" s="42" t="s">
        <v>85</v>
      </c>
      <c r="B12" s="11">
        <v>6</v>
      </c>
      <c r="C12" s="11" t="s">
        <v>80</v>
      </c>
      <c r="D12" s="34">
        <f t="shared" si="1"/>
        <v>0</v>
      </c>
      <c r="E12" s="34">
        <f t="shared" si="1"/>
        <v>0</v>
      </c>
      <c r="F12" s="34">
        <f t="shared" si="0"/>
        <v>0</v>
      </c>
      <c r="G12" s="34">
        <f t="shared" si="0"/>
        <v>0</v>
      </c>
    </row>
    <row r="13" spans="1:7" ht="58.5" customHeight="1">
      <c r="A13" s="42" t="s">
        <v>90</v>
      </c>
      <c r="B13" s="11">
        <v>7</v>
      </c>
      <c r="C13" s="11" t="s">
        <v>91</v>
      </c>
      <c r="D13" s="34">
        <f t="shared" si="1"/>
        <v>0</v>
      </c>
      <c r="E13" s="34">
        <f t="shared" si="1"/>
        <v>0</v>
      </c>
      <c r="F13" s="34">
        <f t="shared" si="0"/>
        <v>0</v>
      </c>
      <c r="G13" s="34">
        <f t="shared" si="0"/>
        <v>0</v>
      </c>
    </row>
    <row r="14" spans="1:7" ht="46.5">
      <c r="A14" s="106" t="s">
        <v>96</v>
      </c>
      <c r="B14" s="11">
        <v>8</v>
      </c>
      <c r="C14" s="11" t="s">
        <v>91</v>
      </c>
      <c r="D14" s="34">
        <f t="shared" si="1"/>
        <v>0</v>
      </c>
      <c r="E14" s="34">
        <f t="shared" si="1"/>
        <v>0</v>
      </c>
      <c r="F14" s="34">
        <f t="shared" si="0"/>
        <v>0</v>
      </c>
      <c r="G14" s="34">
        <f t="shared" si="0"/>
        <v>0</v>
      </c>
    </row>
    <row r="15" spans="1:7" ht="60" customHeight="1">
      <c r="A15" s="57" t="s">
        <v>101</v>
      </c>
      <c r="B15" s="11">
        <v>9</v>
      </c>
      <c r="C15" s="11" t="s">
        <v>102</v>
      </c>
      <c r="D15" s="34">
        <f t="shared" si="1"/>
        <v>0</v>
      </c>
      <c r="E15" s="34">
        <f t="shared" si="1"/>
        <v>0</v>
      </c>
      <c r="F15" s="34">
        <f t="shared" si="0"/>
        <v>0</v>
      </c>
      <c r="G15" s="34">
        <f t="shared" si="0"/>
        <v>0</v>
      </c>
    </row>
    <row r="16" spans="1:7" s="17" customFormat="1" ht="72">
      <c r="A16" s="57" t="s">
        <v>107</v>
      </c>
      <c r="B16" s="11">
        <v>10</v>
      </c>
      <c r="C16" s="11" t="s">
        <v>91</v>
      </c>
      <c r="D16" s="34">
        <f t="shared" si="1"/>
        <v>0</v>
      </c>
      <c r="E16" s="34">
        <f t="shared" si="1"/>
        <v>0</v>
      </c>
      <c r="F16" s="34">
        <f t="shared" si="0"/>
        <v>0</v>
      </c>
      <c r="G16" s="34">
        <f t="shared" si="0"/>
        <v>0</v>
      </c>
    </row>
    <row r="17" spans="1:7" ht="54">
      <c r="A17" s="77" t="s">
        <v>112</v>
      </c>
      <c r="B17" s="11">
        <v>11</v>
      </c>
      <c r="C17" s="11" t="s">
        <v>91</v>
      </c>
      <c r="D17" s="34">
        <f t="shared" si="1"/>
        <v>0</v>
      </c>
      <c r="E17" s="34">
        <f t="shared" si="1"/>
        <v>0</v>
      </c>
      <c r="F17" s="34">
        <f t="shared" si="0"/>
        <v>0</v>
      </c>
      <c r="G17" s="34">
        <f t="shared" si="0"/>
        <v>0</v>
      </c>
    </row>
    <row r="18" spans="1:7" ht="46.5" customHeight="1">
      <c r="A18" s="77" t="s">
        <v>117</v>
      </c>
      <c r="B18" s="11">
        <v>12</v>
      </c>
      <c r="C18" s="11" t="s">
        <v>118</v>
      </c>
      <c r="D18" s="34">
        <f t="shared" si="1"/>
        <v>0</v>
      </c>
      <c r="E18" s="34">
        <f t="shared" si="1"/>
        <v>0</v>
      </c>
      <c r="F18" s="34">
        <f t="shared" si="0"/>
        <v>0</v>
      </c>
      <c r="G18" s="34">
        <f t="shared" si="0"/>
        <v>0</v>
      </c>
    </row>
    <row r="19" spans="1:7" ht="71.25" customHeight="1">
      <c r="A19" s="102" t="s">
        <v>123</v>
      </c>
      <c r="B19" s="11">
        <v>13</v>
      </c>
      <c r="C19" s="11" t="s">
        <v>32</v>
      </c>
      <c r="D19" s="34">
        <f>30.665</f>
        <v>30.665</v>
      </c>
      <c r="E19" s="34">
        <f>30.665</f>
        <v>30.665</v>
      </c>
      <c r="F19" s="34">
        <f t="shared" si="0"/>
        <v>0</v>
      </c>
      <c r="G19" s="34">
        <f t="shared" si="0"/>
        <v>0</v>
      </c>
    </row>
    <row r="20" spans="1:7" ht="73.5" customHeight="1">
      <c r="A20" s="79" t="s">
        <v>128</v>
      </c>
      <c r="B20" s="11">
        <v>14</v>
      </c>
      <c r="C20" s="11" t="s">
        <v>32</v>
      </c>
      <c r="D20" s="34">
        <f>60.73</f>
        <v>60.73</v>
      </c>
      <c r="E20" s="34">
        <f>60.73</f>
        <v>60.73</v>
      </c>
      <c r="F20" s="34">
        <f t="shared" si="0"/>
        <v>0</v>
      </c>
      <c r="G20" s="34">
        <f t="shared" si="0"/>
        <v>0</v>
      </c>
    </row>
    <row r="21" spans="1:7" ht="76.5" customHeight="1">
      <c r="A21" s="79" t="s">
        <v>133</v>
      </c>
      <c r="B21" s="11">
        <v>15</v>
      </c>
      <c r="C21" s="11" t="s">
        <v>91</v>
      </c>
      <c r="D21" s="34">
        <f>215.505</f>
        <v>215.505</v>
      </c>
      <c r="E21" s="34">
        <f>215.505</f>
        <v>215.505</v>
      </c>
      <c r="F21" s="34">
        <f t="shared" si="0"/>
        <v>0</v>
      </c>
      <c r="G21" s="34">
        <f t="shared" si="0"/>
        <v>0</v>
      </c>
    </row>
    <row r="22" spans="1:7" s="108" customFormat="1" ht="108">
      <c r="A22" s="79" t="s">
        <v>138</v>
      </c>
      <c r="B22" s="11">
        <v>16</v>
      </c>
      <c r="C22" s="11" t="s">
        <v>32</v>
      </c>
      <c r="D22" s="34">
        <f>14.088</f>
        <v>14.088</v>
      </c>
      <c r="E22" s="34">
        <f>14.088</f>
        <v>14.088</v>
      </c>
      <c r="F22" s="34">
        <f t="shared" si="0"/>
        <v>0</v>
      </c>
      <c r="G22" s="34">
        <f t="shared" si="0"/>
        <v>0</v>
      </c>
    </row>
    <row r="23" spans="1:7" s="91" customFormat="1" ht="72">
      <c r="A23" s="79" t="s">
        <v>143</v>
      </c>
      <c r="B23" s="11">
        <v>17</v>
      </c>
      <c r="C23" s="11" t="s">
        <v>144</v>
      </c>
      <c r="D23" s="34">
        <f>23478</f>
        <v>23478</v>
      </c>
      <c r="E23" s="34">
        <f>23478</f>
        <v>23478</v>
      </c>
      <c r="F23" s="34">
        <f t="shared" si="0"/>
        <v>0</v>
      </c>
      <c r="G23" s="34">
        <f t="shared" si="0"/>
        <v>0</v>
      </c>
    </row>
    <row r="24" spans="1:7" s="91" customFormat="1" ht="72">
      <c r="A24" s="79" t="s">
        <v>149</v>
      </c>
      <c r="B24" s="11">
        <v>18</v>
      </c>
      <c r="C24" s="11" t="s">
        <v>144</v>
      </c>
      <c r="D24" s="34">
        <f>0</f>
        <v>0</v>
      </c>
      <c r="E24" s="34">
        <f>0</f>
        <v>0</v>
      </c>
      <c r="F24" s="34">
        <f t="shared" si="0"/>
        <v>0</v>
      </c>
      <c r="G24" s="34">
        <f t="shared" si="0"/>
        <v>0</v>
      </c>
    </row>
    <row r="31" ht="36.75" customHeight="1" hidden="1"/>
  </sheetData>
  <sheetProtection/>
  <mergeCells count="8">
    <mergeCell ref="A1:G1"/>
    <mergeCell ref="A2:F2"/>
    <mergeCell ref="A3:F3"/>
    <mergeCell ref="A4:A6"/>
    <mergeCell ref="C4:C6"/>
    <mergeCell ref="D4:G4"/>
    <mergeCell ref="D5:E5"/>
    <mergeCell ref="B4:B6"/>
  </mergeCells>
  <printOptions/>
  <pageMargins left="0.4722222222222222" right="0.19652777777777777" top="0.4722222222222222" bottom="0" header="0.5118055555555555" footer="0.5118055555555555"/>
  <pageSetup horizontalDpi="300" verticalDpi="300" orientation="portrait" paperSize="9" scale="5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1"/>
  <sheetViews>
    <sheetView view="pageBreakPreview" zoomScale="75" zoomScaleNormal="75" zoomScaleSheetLayoutView="75" zoomScalePageLayoutView="0" workbookViewId="0" topLeftCell="A5">
      <selection activeCell="D7" sqref="D7"/>
    </sheetView>
  </sheetViews>
  <sheetFormatPr defaultColWidth="9" defaultRowHeight="14.25"/>
  <cols>
    <col min="1" max="1" width="59" style="5" customWidth="1"/>
    <col min="2" max="2" width="16.3984375" style="69" customWidth="1"/>
    <col min="3" max="3" width="19.69921875" style="22" customWidth="1"/>
    <col min="4" max="4" width="32.3984375" style="5" customWidth="1"/>
    <col min="5" max="16384" width="9" style="5" customWidth="1"/>
  </cols>
  <sheetData>
    <row r="1" spans="1:4" ht="18">
      <c r="A1" s="116" t="s">
        <v>154</v>
      </c>
      <c r="B1" s="117"/>
      <c r="C1" s="117"/>
      <c r="D1" s="117"/>
    </row>
    <row r="2" spans="1:4" ht="78.75" customHeight="1">
      <c r="A2" s="118" t="s">
        <v>153</v>
      </c>
      <c r="B2" s="118"/>
      <c r="C2" s="118"/>
      <c r="D2" s="117"/>
    </row>
    <row r="3" spans="1:3" ht="12.75">
      <c r="A3" s="7"/>
      <c r="B3" s="68"/>
      <c r="C3" s="7"/>
    </row>
    <row r="4" spans="1:4" ht="135.75" customHeight="1">
      <c r="A4" s="1" t="s">
        <v>155</v>
      </c>
      <c r="B4" s="26" t="s">
        <v>8</v>
      </c>
      <c r="C4" s="26" t="s">
        <v>3</v>
      </c>
      <c r="D4" s="26" t="s">
        <v>295</v>
      </c>
    </row>
    <row r="5" spans="1:4" ht="18">
      <c r="A5" s="12">
        <v>1</v>
      </c>
      <c r="B5" s="12">
        <v>2</v>
      </c>
      <c r="C5" s="12">
        <v>3</v>
      </c>
      <c r="D5" s="12">
        <v>4</v>
      </c>
    </row>
    <row r="6" spans="1:4" ht="87">
      <c r="A6" s="50" t="s">
        <v>292</v>
      </c>
      <c r="B6" s="11">
        <v>1</v>
      </c>
      <c r="C6" s="27">
        <f>SUM(C7:C9)</f>
        <v>9888.377</v>
      </c>
      <c r="D6" s="27"/>
    </row>
    <row r="7" spans="1:4" ht="36">
      <c r="A7" s="46" t="s">
        <v>157</v>
      </c>
      <c r="B7" s="11">
        <v>2</v>
      </c>
      <c r="C7" s="27">
        <f>3692478/1000</f>
        <v>3692.478</v>
      </c>
      <c r="D7" s="27">
        <f>1211.801</f>
        <v>1211.801</v>
      </c>
    </row>
    <row r="8" spans="1:4" ht="36">
      <c r="A8" s="46" t="s">
        <v>159</v>
      </c>
      <c r="B8" s="11">
        <v>3</v>
      </c>
      <c r="C8" s="27">
        <f>2921462/1000</f>
        <v>2921.462</v>
      </c>
      <c r="D8" s="27">
        <f>958.768</f>
        <v>958.768</v>
      </c>
    </row>
    <row r="9" spans="1:4" ht="36" thickBot="1">
      <c r="A9" s="75" t="s">
        <v>161</v>
      </c>
      <c r="B9" s="103">
        <v>4</v>
      </c>
      <c r="C9" s="27">
        <f>3274437/1000</f>
        <v>3274.437</v>
      </c>
      <c r="D9" s="27">
        <f>1074.608</f>
        <v>1074.608</v>
      </c>
    </row>
    <row r="10" spans="1:4" ht="19.5" customHeight="1" thickTop="1">
      <c r="A10" s="126" t="s">
        <v>163</v>
      </c>
      <c r="B10" s="127"/>
      <c r="C10" s="127"/>
      <c r="D10" s="128"/>
    </row>
    <row r="11" spans="1:4" ht="132.75" customHeight="1">
      <c r="A11" s="93" t="s">
        <v>164</v>
      </c>
      <c r="B11" s="11" t="s">
        <v>165</v>
      </c>
      <c r="C11" s="11" t="s">
        <v>156</v>
      </c>
      <c r="D11" s="11" t="s">
        <v>294</v>
      </c>
    </row>
    <row r="12" spans="1:4" ht="54">
      <c r="A12" s="93" t="s">
        <v>299</v>
      </c>
      <c r="B12" s="86"/>
      <c r="C12" s="27"/>
      <c r="D12" s="27"/>
    </row>
    <row r="13" spans="1:4" ht="18">
      <c r="A13" s="46" t="s">
        <v>166</v>
      </c>
      <c r="B13" s="27">
        <f>3</f>
        <v>3</v>
      </c>
      <c r="C13" s="27">
        <f>35126</f>
        <v>35126</v>
      </c>
      <c r="D13" s="27">
        <f>11.528</f>
        <v>11.528</v>
      </c>
    </row>
    <row r="14" spans="1:4" ht="18">
      <c r="A14" s="46" t="s">
        <v>167</v>
      </c>
      <c r="B14" s="27">
        <f>77</f>
        <v>77</v>
      </c>
      <c r="C14" s="27">
        <f>486769</f>
        <v>486769</v>
      </c>
      <c r="D14" s="27">
        <f>159.748</f>
        <v>159.748</v>
      </c>
    </row>
    <row r="15" spans="1:4" ht="18">
      <c r="A15" s="46" t="s">
        <v>168</v>
      </c>
      <c r="B15" s="97">
        <f>674</f>
        <v>674</v>
      </c>
      <c r="C15" s="27">
        <f>2724664</f>
        <v>2724664</v>
      </c>
      <c r="D15" s="27">
        <f>894.183</f>
        <v>894.183</v>
      </c>
    </row>
    <row r="16" spans="1:4" ht="18">
      <c r="A16" s="46" t="s">
        <v>169</v>
      </c>
      <c r="B16" s="97">
        <f>2007.7</f>
        <v>2007.7</v>
      </c>
      <c r="C16" s="27">
        <f>5885364</f>
        <v>5885364</v>
      </c>
      <c r="D16" s="27">
        <f>1931.661</f>
        <v>1931.661</v>
      </c>
    </row>
    <row r="17" spans="1:4" ht="18">
      <c r="A17" s="46" t="s">
        <v>170</v>
      </c>
      <c r="B17" s="97">
        <f>285.4</f>
        <v>285.4</v>
      </c>
      <c r="C17" s="27">
        <f>755854</f>
        <v>755854</v>
      </c>
      <c r="D17" s="27">
        <f>248.057</f>
        <v>248.057</v>
      </c>
    </row>
    <row r="18" spans="1:3" ht="18">
      <c r="A18" s="88"/>
      <c r="B18" s="101"/>
      <c r="C18" s="78"/>
    </row>
    <row r="19" spans="1:3" ht="18">
      <c r="A19" s="73"/>
      <c r="B19" s="83"/>
      <c r="C19" s="105"/>
    </row>
    <row r="20" spans="1:2" ht="12.75">
      <c r="A20" s="90"/>
      <c r="B20" s="92"/>
    </row>
    <row r="21" spans="1:14" ht="40.5" customHeight="1" hidden="1">
      <c r="A21" s="125" t="s">
        <v>27</v>
      </c>
      <c r="B21" s="125"/>
      <c r="C21" s="125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</row>
  </sheetData>
  <sheetProtection/>
  <mergeCells count="4">
    <mergeCell ref="A21:C21"/>
    <mergeCell ref="A10:D10"/>
    <mergeCell ref="A2:D2"/>
    <mergeCell ref="A1:D1"/>
  </mergeCells>
  <printOptions/>
  <pageMargins left="0.9840277777777777" right="0.5902777777777778" top="0.7875" bottom="0.7875" header="0.5118055555555555" footer="0.5118055555555555"/>
  <pageSetup horizontalDpi="300" verticalDpi="300" orientation="portrait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3"/>
  <sheetViews>
    <sheetView view="pageBreakPreview" zoomScale="75" zoomScaleNormal="75" zoomScaleSheetLayoutView="75" zoomScalePageLayoutView="0" workbookViewId="0" topLeftCell="A1">
      <pane ySplit="5" topLeftCell="A9" activePane="bottomLeft" state="frozen"/>
      <selection pane="topLeft" activeCell="A1" sqref="A1"/>
      <selection pane="bottomLeft" activeCell="K15" sqref="K15"/>
    </sheetView>
  </sheetViews>
  <sheetFormatPr defaultColWidth="9" defaultRowHeight="14.25"/>
  <cols>
    <col min="1" max="1" width="8" style="51" customWidth="1"/>
    <col min="2" max="2" width="52.19921875" style="51" customWidth="1"/>
    <col min="3" max="3" width="7.3984375" style="51" customWidth="1"/>
    <col min="4" max="4" width="9.59765625" style="51" customWidth="1"/>
    <col min="5" max="6" width="9.19921875" style="51" customWidth="1"/>
    <col min="7" max="7" width="11" style="51" customWidth="1"/>
    <col min="8" max="8" width="18.5" style="51" customWidth="1"/>
    <col min="9" max="9" width="16.59765625" style="51" customWidth="1"/>
    <col min="10" max="10" width="15.19921875" style="51" customWidth="1"/>
    <col min="11" max="11" width="16.59765625" style="51" customWidth="1"/>
    <col min="12" max="12" width="16.69921875" style="51" customWidth="1"/>
    <col min="13" max="13" width="9.59765625" style="51" customWidth="1"/>
    <col min="14" max="14" width="13.8984375" style="51" customWidth="1"/>
    <col min="15" max="15" width="14.8984375" style="51" customWidth="1"/>
    <col min="16" max="16" width="13.796875" style="51" customWidth="1"/>
    <col min="17" max="17" width="8.69921875" style="51" customWidth="1"/>
    <col min="18" max="18" width="14.69921875" style="51" customWidth="1"/>
    <col min="19" max="19" width="15.3984375" style="51" customWidth="1"/>
    <col min="20" max="20" width="11.69921875" style="51" customWidth="1"/>
    <col min="21" max="22" width="11.19921875" style="51" customWidth="1"/>
    <col min="23" max="23" width="14.3984375" style="51" customWidth="1"/>
    <col min="24" max="24" width="11.8984375" style="51" customWidth="1"/>
    <col min="25" max="26" width="9" style="51" customWidth="1"/>
    <col min="27" max="27" width="9" style="51" hidden="1" customWidth="1"/>
    <col min="28" max="16384" width="9" style="51" customWidth="1"/>
  </cols>
  <sheetData>
    <row r="1" spans="1:19" ht="19.5" customHeight="1">
      <c r="A1" s="48"/>
      <c r="B1" s="48"/>
      <c r="C1" s="135" t="s">
        <v>171</v>
      </c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</row>
    <row r="2" spans="1:19" ht="39" customHeight="1">
      <c r="A2" s="137" t="s">
        <v>172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</row>
    <row r="3" spans="1:19" ht="36" customHeight="1">
      <c r="A3" s="129" t="s">
        <v>173</v>
      </c>
      <c r="B3" s="129" t="s">
        <v>174</v>
      </c>
      <c r="C3" s="130" t="s">
        <v>315</v>
      </c>
      <c r="D3" s="130" t="s">
        <v>175</v>
      </c>
      <c r="E3" s="129" t="s">
        <v>176</v>
      </c>
      <c r="F3" s="129" t="s">
        <v>177</v>
      </c>
      <c r="G3" s="129" t="s">
        <v>178</v>
      </c>
      <c r="H3" s="129" t="s">
        <v>317</v>
      </c>
      <c r="I3" s="129" t="s">
        <v>318</v>
      </c>
      <c r="J3" s="134" t="s">
        <v>327</v>
      </c>
      <c r="K3" s="132"/>
      <c r="L3" s="132"/>
      <c r="M3" s="132"/>
      <c r="N3" s="132"/>
      <c r="O3" s="132"/>
      <c r="P3" s="132"/>
      <c r="Q3" s="132"/>
      <c r="R3" s="132"/>
      <c r="S3" s="133"/>
    </row>
    <row r="4" spans="1:19" ht="45" customHeight="1">
      <c r="A4" s="129"/>
      <c r="B4" s="129"/>
      <c r="C4" s="122"/>
      <c r="D4" s="122"/>
      <c r="E4" s="129"/>
      <c r="F4" s="129"/>
      <c r="G4" s="129"/>
      <c r="H4" s="129"/>
      <c r="I4" s="129"/>
      <c r="J4" s="131" t="s">
        <v>314</v>
      </c>
      <c r="K4" s="132"/>
      <c r="L4" s="132"/>
      <c r="M4" s="133"/>
      <c r="N4" s="131" t="s">
        <v>328</v>
      </c>
      <c r="O4" s="132"/>
      <c r="P4" s="132"/>
      <c r="Q4" s="133"/>
      <c r="R4" s="52" t="s">
        <v>319</v>
      </c>
      <c r="S4" s="52" t="s">
        <v>320</v>
      </c>
    </row>
    <row r="5" spans="1:19" ht="67.5" customHeight="1">
      <c r="A5" s="129"/>
      <c r="B5" s="129"/>
      <c r="C5" s="123"/>
      <c r="D5" s="123"/>
      <c r="E5" s="129"/>
      <c r="F5" s="129"/>
      <c r="G5" s="129"/>
      <c r="H5" s="129"/>
      <c r="I5" s="129"/>
      <c r="J5" s="2" t="s">
        <v>323</v>
      </c>
      <c r="K5" s="2" t="s">
        <v>324</v>
      </c>
      <c r="L5" s="2" t="s">
        <v>325</v>
      </c>
      <c r="M5" s="2" t="s">
        <v>326</v>
      </c>
      <c r="N5" s="2" t="s">
        <v>323</v>
      </c>
      <c r="O5" s="2" t="s">
        <v>324</v>
      </c>
      <c r="P5" s="2" t="s">
        <v>325</v>
      </c>
      <c r="Q5" s="2" t="s">
        <v>326</v>
      </c>
      <c r="R5" s="2" t="s">
        <v>321</v>
      </c>
      <c r="S5" s="2" t="s">
        <v>321</v>
      </c>
    </row>
    <row r="6" spans="1:27" ht="26.25">
      <c r="A6" s="2">
        <v>1</v>
      </c>
      <c r="B6" s="60" t="s">
        <v>322</v>
      </c>
      <c r="C6" s="112" t="s">
        <v>32</v>
      </c>
      <c r="D6" s="113" t="s">
        <v>311</v>
      </c>
      <c r="E6" s="114" t="s">
        <v>306</v>
      </c>
      <c r="F6" s="114">
        <v>2</v>
      </c>
      <c r="G6" s="114">
        <v>2017</v>
      </c>
      <c r="H6" s="115">
        <v>88391.61</v>
      </c>
      <c r="I6" s="115">
        <v>75230.133</v>
      </c>
      <c r="J6" s="115">
        <v>47551.581</v>
      </c>
      <c r="K6" s="115">
        <v>74190.805</v>
      </c>
      <c r="L6" s="115">
        <v>226.611</v>
      </c>
      <c r="M6" s="115">
        <v>0</v>
      </c>
      <c r="N6" s="115">
        <v>46912.274</v>
      </c>
      <c r="O6" s="115">
        <v>26057.51</v>
      </c>
      <c r="P6" s="115">
        <v>226.611</v>
      </c>
      <c r="Q6" s="115">
        <v>0</v>
      </c>
      <c r="R6" s="115">
        <v>0</v>
      </c>
      <c r="S6" s="115">
        <v>0</v>
      </c>
      <c r="AA6" s="51">
        <v>2</v>
      </c>
    </row>
    <row r="7" spans="1:27" ht="26.25">
      <c r="A7" s="2">
        <v>2</v>
      </c>
      <c r="B7" s="60" t="s">
        <v>313</v>
      </c>
      <c r="C7" s="112" t="s">
        <v>32</v>
      </c>
      <c r="D7" s="113" t="s">
        <v>310</v>
      </c>
      <c r="E7" s="114" t="s">
        <v>305</v>
      </c>
      <c r="F7" s="114">
        <v>1</v>
      </c>
      <c r="G7" s="114">
        <v>2017</v>
      </c>
      <c r="H7" s="115">
        <v>32556.65</v>
      </c>
      <c r="I7" s="115">
        <v>29157.285</v>
      </c>
      <c r="J7" s="115">
        <v>18592.27</v>
      </c>
      <c r="K7" s="115">
        <v>29011.962</v>
      </c>
      <c r="L7" s="115">
        <v>92.581</v>
      </c>
      <c r="M7" s="115">
        <v>0</v>
      </c>
      <c r="N7" s="115">
        <v>18592.27</v>
      </c>
      <c r="O7" s="115">
        <v>10327.111</v>
      </c>
      <c r="P7" s="115">
        <v>92.581</v>
      </c>
      <c r="Q7" s="115">
        <v>0</v>
      </c>
      <c r="R7" s="115">
        <v>0</v>
      </c>
      <c r="S7" s="115">
        <v>0</v>
      </c>
      <c r="AA7" s="51">
        <v>2</v>
      </c>
    </row>
    <row r="8" spans="1:27" ht="52.5">
      <c r="A8" s="2">
        <v>3</v>
      </c>
      <c r="B8" s="60" t="s">
        <v>308</v>
      </c>
      <c r="C8" s="112" t="s">
        <v>32</v>
      </c>
      <c r="D8" s="113" t="s">
        <v>309</v>
      </c>
      <c r="E8" s="114" t="s">
        <v>304</v>
      </c>
      <c r="F8" s="114">
        <v>0</v>
      </c>
      <c r="G8" s="114">
        <v>2017</v>
      </c>
      <c r="H8" s="115">
        <v>43416.98</v>
      </c>
      <c r="I8" s="115">
        <v>39033.83</v>
      </c>
      <c r="J8" s="115">
        <v>24635.059</v>
      </c>
      <c r="K8" s="115">
        <v>38441.727</v>
      </c>
      <c r="L8" s="115">
        <v>123.079</v>
      </c>
      <c r="M8" s="115">
        <v>0</v>
      </c>
      <c r="N8" s="115">
        <v>24635.059</v>
      </c>
      <c r="O8" s="115">
        <v>13683.589</v>
      </c>
      <c r="P8" s="115">
        <v>0</v>
      </c>
      <c r="Q8" s="115">
        <v>0</v>
      </c>
      <c r="R8" s="115">
        <v>0</v>
      </c>
      <c r="S8" s="115">
        <v>0</v>
      </c>
      <c r="AA8" s="51">
        <v>2</v>
      </c>
    </row>
    <row r="9" spans="1:27" ht="26.25">
      <c r="A9" s="2">
        <v>4</v>
      </c>
      <c r="B9" s="60" t="s">
        <v>312</v>
      </c>
      <c r="C9" s="112" t="s">
        <v>32</v>
      </c>
      <c r="D9" s="113" t="s">
        <v>307</v>
      </c>
      <c r="E9" s="114" t="s">
        <v>306</v>
      </c>
      <c r="F9" s="114">
        <v>2</v>
      </c>
      <c r="G9" s="114">
        <v>2017</v>
      </c>
      <c r="H9" s="115">
        <v>35997.66</v>
      </c>
      <c r="I9" s="115">
        <v>31875.852</v>
      </c>
      <c r="J9" s="115">
        <v>20428.46</v>
      </c>
      <c r="K9" s="115">
        <v>31875.852</v>
      </c>
      <c r="L9" s="115">
        <v>100.366</v>
      </c>
      <c r="M9" s="115">
        <v>0</v>
      </c>
      <c r="N9" s="115">
        <v>20428.46</v>
      </c>
      <c r="O9" s="115">
        <v>11347.026</v>
      </c>
      <c r="P9" s="115">
        <v>100.366</v>
      </c>
      <c r="Q9" s="115">
        <v>0</v>
      </c>
      <c r="R9" s="115">
        <v>0</v>
      </c>
      <c r="S9" s="115">
        <v>0</v>
      </c>
      <c r="AA9" s="51">
        <v>2</v>
      </c>
    </row>
    <row r="10" spans="1:27" ht="26.25">
      <c r="A10" s="2">
        <v>5</v>
      </c>
      <c r="B10" s="60" t="s">
        <v>303</v>
      </c>
      <c r="C10" s="112" t="s">
        <v>32</v>
      </c>
      <c r="D10" s="113" t="s">
        <v>302</v>
      </c>
      <c r="E10" s="114" t="s">
        <v>305</v>
      </c>
      <c r="F10" s="114">
        <v>0</v>
      </c>
      <c r="G10" s="114">
        <v>2017</v>
      </c>
      <c r="H10" s="115">
        <v>54064.65</v>
      </c>
      <c r="I10" s="115">
        <v>46215.168</v>
      </c>
      <c r="J10" s="115">
        <v>23735.327</v>
      </c>
      <c r="K10" s="115">
        <v>37672.611</v>
      </c>
      <c r="L10" s="115">
        <v>753.452</v>
      </c>
      <c r="M10" s="115">
        <v>0</v>
      </c>
      <c r="N10" s="115">
        <v>23735.327</v>
      </c>
      <c r="O10" s="115">
        <v>13183.832</v>
      </c>
      <c r="P10" s="115">
        <v>625.732</v>
      </c>
      <c r="Q10" s="115">
        <v>0</v>
      </c>
      <c r="R10" s="115">
        <v>0</v>
      </c>
      <c r="S10" s="115">
        <v>0</v>
      </c>
      <c r="AA10" s="51">
        <v>2</v>
      </c>
    </row>
    <row r="11" spans="1:27" ht="26.25">
      <c r="A11" s="2">
        <v>6</v>
      </c>
      <c r="B11" s="60" t="s">
        <v>301</v>
      </c>
      <c r="C11" s="112" t="s">
        <v>32</v>
      </c>
      <c r="D11" s="113" t="s">
        <v>300</v>
      </c>
      <c r="E11" s="114" t="s">
        <v>305</v>
      </c>
      <c r="F11" s="114">
        <v>1</v>
      </c>
      <c r="G11" s="114">
        <v>2017</v>
      </c>
      <c r="H11" s="115">
        <v>19137.92</v>
      </c>
      <c r="I11" s="115">
        <v>16921.918</v>
      </c>
      <c r="J11" s="115">
        <v>8497.425</v>
      </c>
      <c r="K11" s="115">
        <v>13284.554</v>
      </c>
      <c r="L11" s="115">
        <v>67.218</v>
      </c>
      <c r="M11" s="115">
        <v>0</v>
      </c>
      <c r="N11" s="115">
        <v>8497.425</v>
      </c>
      <c r="O11" s="115">
        <v>4719.911</v>
      </c>
      <c r="P11" s="115">
        <v>67.218</v>
      </c>
      <c r="Q11" s="115">
        <v>0</v>
      </c>
      <c r="R11" s="115">
        <v>0</v>
      </c>
      <c r="S11" s="115">
        <v>0</v>
      </c>
      <c r="AA11" s="51">
        <v>2</v>
      </c>
    </row>
    <row r="12" spans="1:27" ht="26.25">
      <c r="A12" s="2">
        <v>7</v>
      </c>
      <c r="B12" s="60" t="s">
        <v>298</v>
      </c>
      <c r="C12" s="112" t="s">
        <v>32</v>
      </c>
      <c r="D12" s="113" t="s">
        <v>162</v>
      </c>
      <c r="E12" s="114" t="s">
        <v>305</v>
      </c>
      <c r="F12" s="114">
        <v>1</v>
      </c>
      <c r="G12" s="114">
        <v>2017</v>
      </c>
      <c r="H12" s="115">
        <v>6772.19</v>
      </c>
      <c r="I12" s="115">
        <v>1576.214</v>
      </c>
      <c r="J12" s="115">
        <v>1112.179</v>
      </c>
      <c r="K12" s="115">
        <v>1576.214</v>
      </c>
      <c r="L12" s="115">
        <v>31.524</v>
      </c>
      <c r="M12" s="115">
        <v>0</v>
      </c>
      <c r="N12" s="115">
        <v>1089.545</v>
      </c>
      <c r="O12" s="115">
        <v>454.592</v>
      </c>
      <c r="P12" s="115">
        <v>31.524</v>
      </c>
      <c r="Q12" s="115">
        <v>0</v>
      </c>
      <c r="R12" s="115">
        <v>0</v>
      </c>
      <c r="S12" s="115">
        <v>0</v>
      </c>
      <c r="AA12" s="51">
        <v>2</v>
      </c>
    </row>
    <row r="13" spans="1:27" ht="26.25">
      <c r="A13" s="2">
        <v>8</v>
      </c>
      <c r="B13" s="60" t="s">
        <v>297</v>
      </c>
      <c r="C13" s="112" t="s">
        <v>32</v>
      </c>
      <c r="D13" s="113" t="s">
        <v>160</v>
      </c>
      <c r="E13" s="114" t="s">
        <v>305</v>
      </c>
      <c r="F13" s="114">
        <v>1</v>
      </c>
      <c r="G13" s="114">
        <v>2017</v>
      </c>
      <c r="H13" s="115">
        <v>4360.42</v>
      </c>
      <c r="I13" s="115">
        <v>1005.906</v>
      </c>
      <c r="J13" s="115">
        <v>515.03</v>
      </c>
      <c r="K13" s="115">
        <v>1005.724</v>
      </c>
      <c r="L13" s="115">
        <v>20.118</v>
      </c>
      <c r="M13" s="115">
        <v>0</v>
      </c>
      <c r="N13" s="115">
        <v>497.726</v>
      </c>
      <c r="O13" s="115">
        <v>474.383</v>
      </c>
      <c r="P13" s="115">
        <v>20.118</v>
      </c>
      <c r="Q13" s="115">
        <v>0</v>
      </c>
      <c r="R13" s="115">
        <v>0</v>
      </c>
      <c r="S13" s="115">
        <v>0</v>
      </c>
      <c r="AA13" s="51">
        <v>2</v>
      </c>
    </row>
    <row r="14" spans="1:27" ht="26.25">
      <c r="A14" s="2">
        <v>9</v>
      </c>
      <c r="B14" s="60" t="s">
        <v>296</v>
      </c>
      <c r="C14" s="112" t="s">
        <v>32</v>
      </c>
      <c r="D14" s="113" t="s">
        <v>158</v>
      </c>
      <c r="E14" s="114" t="s">
        <v>293</v>
      </c>
      <c r="F14" s="114">
        <v>2</v>
      </c>
      <c r="G14" s="114">
        <v>2017</v>
      </c>
      <c r="H14" s="115">
        <v>276610.41</v>
      </c>
      <c r="I14" s="115">
        <v>156296.861</v>
      </c>
      <c r="J14" s="115">
        <v>0</v>
      </c>
      <c r="K14" s="115">
        <v>40011.927</v>
      </c>
      <c r="L14" s="115">
        <v>0</v>
      </c>
      <c r="M14" s="115">
        <v>0</v>
      </c>
      <c r="N14" s="115">
        <v>0</v>
      </c>
      <c r="O14" s="115">
        <v>40011.927</v>
      </c>
      <c r="P14" s="115">
        <v>0</v>
      </c>
      <c r="Q14" s="115">
        <v>0</v>
      </c>
      <c r="R14" s="115"/>
      <c r="S14" s="115"/>
      <c r="AA14" s="51">
        <v>2</v>
      </c>
    </row>
    <row r="15" spans="1:27" ht="26.25">
      <c r="A15" s="2">
        <v>10</v>
      </c>
      <c r="B15" s="60" t="s">
        <v>152</v>
      </c>
      <c r="C15" s="112" t="s">
        <v>91</v>
      </c>
      <c r="D15" s="113" t="s">
        <v>151</v>
      </c>
      <c r="E15" s="114" t="s">
        <v>306</v>
      </c>
      <c r="F15" s="114">
        <v>2</v>
      </c>
      <c r="G15" s="114">
        <v>2018</v>
      </c>
      <c r="H15" s="115">
        <v>69093.71</v>
      </c>
      <c r="I15" s="115">
        <v>69334.477</v>
      </c>
      <c r="J15" s="115">
        <v>0</v>
      </c>
      <c r="K15" s="115">
        <v>14483.294</v>
      </c>
      <c r="L15" s="115">
        <v>0</v>
      </c>
      <c r="M15" s="115">
        <v>0</v>
      </c>
      <c r="N15" s="115">
        <v>0</v>
      </c>
      <c r="O15" s="115">
        <v>13531.42</v>
      </c>
      <c r="P15" s="115">
        <v>0</v>
      </c>
      <c r="Q15" s="115">
        <v>0</v>
      </c>
      <c r="R15" s="115">
        <v>54986.367</v>
      </c>
      <c r="S15" s="115">
        <v>0</v>
      </c>
      <c r="AA15" s="51">
        <v>2</v>
      </c>
    </row>
    <row r="16" spans="1:27" ht="26.25">
      <c r="A16" s="2">
        <v>11</v>
      </c>
      <c r="B16" s="60" t="s">
        <v>150</v>
      </c>
      <c r="C16" s="112" t="s">
        <v>32</v>
      </c>
      <c r="D16" s="113" t="s">
        <v>148</v>
      </c>
      <c r="E16" s="114" t="s">
        <v>306</v>
      </c>
      <c r="F16" s="114">
        <v>2</v>
      </c>
      <c r="G16" s="114">
        <v>2018</v>
      </c>
      <c r="H16" s="115">
        <v>92251.7897</v>
      </c>
      <c r="I16" s="115">
        <v>29139.886</v>
      </c>
      <c r="J16" s="115">
        <v>0</v>
      </c>
      <c r="K16" s="115">
        <v>1789.613</v>
      </c>
      <c r="L16" s="115">
        <v>0</v>
      </c>
      <c r="M16" s="115">
        <v>0</v>
      </c>
      <c r="N16" s="115">
        <v>0</v>
      </c>
      <c r="O16" s="115">
        <v>1789.613</v>
      </c>
      <c r="P16" s="115">
        <v>0</v>
      </c>
      <c r="Q16" s="115">
        <v>0</v>
      </c>
      <c r="R16" s="115">
        <v>27013.13</v>
      </c>
      <c r="S16" s="115"/>
      <c r="AA16" s="51">
        <v>2</v>
      </c>
    </row>
    <row r="17" spans="1:27" ht="26.25">
      <c r="A17" s="2">
        <v>12</v>
      </c>
      <c r="B17" s="60" t="s">
        <v>147</v>
      </c>
      <c r="C17" s="112"/>
      <c r="D17" s="113"/>
      <c r="E17" s="114"/>
      <c r="F17" s="114">
        <v>0</v>
      </c>
      <c r="G17" s="114" t="s">
        <v>146</v>
      </c>
      <c r="H17" s="115">
        <v>0</v>
      </c>
      <c r="I17" s="115">
        <v>0</v>
      </c>
      <c r="J17" s="115">
        <v>0</v>
      </c>
      <c r="K17" s="115">
        <v>954.526</v>
      </c>
      <c r="L17" s="115">
        <v>0</v>
      </c>
      <c r="M17" s="115">
        <v>0</v>
      </c>
      <c r="N17" s="115">
        <v>0</v>
      </c>
      <c r="O17" s="152">
        <v>974.006</v>
      </c>
      <c r="P17" s="115">
        <v>0</v>
      </c>
      <c r="Q17" s="115">
        <v>0</v>
      </c>
      <c r="R17" s="115">
        <v>0</v>
      </c>
      <c r="S17" s="115">
        <v>0</v>
      </c>
      <c r="AA17" s="51">
        <v>2</v>
      </c>
    </row>
    <row r="18" spans="1:27" ht="26.25">
      <c r="A18" s="2">
        <v>13</v>
      </c>
      <c r="B18" s="60" t="s">
        <v>145</v>
      </c>
      <c r="C18" s="112"/>
      <c r="D18" s="113"/>
      <c r="E18" s="114"/>
      <c r="F18" s="114"/>
      <c r="G18" s="114" t="s">
        <v>146</v>
      </c>
      <c r="H18" s="115">
        <v>0</v>
      </c>
      <c r="I18" s="115">
        <v>0</v>
      </c>
      <c r="J18" s="115">
        <v>0</v>
      </c>
      <c r="K18" s="115">
        <v>1429.081</v>
      </c>
      <c r="L18" s="115">
        <v>0</v>
      </c>
      <c r="M18" s="115">
        <v>0</v>
      </c>
      <c r="N18" s="115">
        <v>0</v>
      </c>
      <c r="O18" s="152">
        <v>1458.246</v>
      </c>
      <c r="P18" s="115">
        <v>0</v>
      </c>
      <c r="Q18" s="115">
        <v>0</v>
      </c>
      <c r="R18" s="115">
        <v>0</v>
      </c>
      <c r="S18" s="115">
        <v>0</v>
      </c>
      <c r="AA18" s="51">
        <v>2</v>
      </c>
    </row>
    <row r="19" spans="1:27" ht="26.25">
      <c r="A19" s="2">
        <v>14</v>
      </c>
      <c r="B19" s="60" t="s">
        <v>142</v>
      </c>
      <c r="C19" s="112"/>
      <c r="D19" s="113"/>
      <c r="E19" s="114"/>
      <c r="F19" s="114"/>
      <c r="G19" s="114" t="s">
        <v>146</v>
      </c>
      <c r="H19" s="115">
        <v>0</v>
      </c>
      <c r="I19" s="115">
        <v>0</v>
      </c>
      <c r="J19" s="115">
        <v>0</v>
      </c>
      <c r="K19" s="115">
        <v>2427.46</v>
      </c>
      <c r="L19" s="115">
        <v>0</v>
      </c>
      <c r="M19" s="115">
        <v>0</v>
      </c>
      <c r="N19" s="115">
        <v>0</v>
      </c>
      <c r="O19" s="115">
        <v>2427.46</v>
      </c>
      <c r="P19" s="115">
        <v>0</v>
      </c>
      <c r="Q19" s="115">
        <v>0</v>
      </c>
      <c r="R19" s="115">
        <v>0</v>
      </c>
      <c r="S19" s="115">
        <v>0</v>
      </c>
      <c r="AA19" s="51">
        <v>2</v>
      </c>
    </row>
    <row r="20" spans="1:27" ht="26.25">
      <c r="A20" s="2">
        <v>15</v>
      </c>
      <c r="B20" s="60" t="s">
        <v>141</v>
      </c>
      <c r="C20" s="112"/>
      <c r="D20" s="113"/>
      <c r="E20" s="114"/>
      <c r="F20" s="114"/>
      <c r="G20" s="114" t="s">
        <v>146</v>
      </c>
      <c r="H20" s="115">
        <v>0</v>
      </c>
      <c r="I20" s="115">
        <v>0</v>
      </c>
      <c r="J20" s="115">
        <v>0</v>
      </c>
      <c r="K20" s="115">
        <v>2134.68</v>
      </c>
      <c r="L20" s="115">
        <v>0</v>
      </c>
      <c r="M20" s="115">
        <v>0</v>
      </c>
      <c r="N20" s="115">
        <v>0</v>
      </c>
      <c r="O20" s="115">
        <v>2134.68</v>
      </c>
      <c r="P20" s="115">
        <v>0</v>
      </c>
      <c r="Q20" s="115">
        <v>0</v>
      </c>
      <c r="R20" s="115">
        <v>0</v>
      </c>
      <c r="S20" s="115">
        <v>0</v>
      </c>
      <c r="AA20" s="51">
        <v>2</v>
      </c>
    </row>
    <row r="21" spans="1:27" ht="26.25">
      <c r="A21" s="2">
        <v>16</v>
      </c>
      <c r="B21" s="60" t="s">
        <v>140</v>
      </c>
      <c r="C21" s="112"/>
      <c r="D21" s="113"/>
      <c r="E21" s="114"/>
      <c r="F21" s="114"/>
      <c r="G21" s="114" t="s">
        <v>146</v>
      </c>
      <c r="H21" s="115">
        <v>0</v>
      </c>
      <c r="I21" s="115">
        <v>0</v>
      </c>
      <c r="J21" s="115">
        <v>0</v>
      </c>
      <c r="K21" s="115">
        <v>1472.15</v>
      </c>
      <c r="L21" s="115">
        <v>0</v>
      </c>
      <c r="M21" s="115">
        <v>0</v>
      </c>
      <c r="N21" s="115">
        <v>0</v>
      </c>
      <c r="O21" s="115">
        <v>1472.15</v>
      </c>
      <c r="P21" s="115">
        <v>0</v>
      </c>
      <c r="Q21" s="115">
        <v>0</v>
      </c>
      <c r="R21" s="115">
        <v>0</v>
      </c>
      <c r="S21" s="115">
        <v>0</v>
      </c>
      <c r="AA21" s="51">
        <v>2</v>
      </c>
    </row>
    <row r="22" spans="1:27" ht="26.25">
      <c r="A22" s="2">
        <v>17</v>
      </c>
      <c r="B22" s="60" t="s">
        <v>139</v>
      </c>
      <c r="C22" s="112"/>
      <c r="D22" s="113"/>
      <c r="E22" s="114"/>
      <c r="F22" s="114"/>
      <c r="G22" s="114" t="s">
        <v>146</v>
      </c>
      <c r="H22" s="115">
        <v>0</v>
      </c>
      <c r="I22" s="115">
        <v>0</v>
      </c>
      <c r="J22" s="115">
        <v>0</v>
      </c>
      <c r="K22" s="115">
        <v>1196.09</v>
      </c>
      <c r="L22" s="115">
        <v>0</v>
      </c>
      <c r="M22" s="115">
        <v>0</v>
      </c>
      <c r="N22" s="115">
        <v>0</v>
      </c>
      <c r="O22" s="115">
        <v>1196.09</v>
      </c>
      <c r="P22" s="115">
        <v>0</v>
      </c>
      <c r="Q22" s="115">
        <v>0</v>
      </c>
      <c r="R22" s="115">
        <v>0</v>
      </c>
      <c r="S22" s="115">
        <v>0</v>
      </c>
      <c r="AA22" s="51">
        <v>2</v>
      </c>
    </row>
    <row r="23" spans="1:27" ht="26.25">
      <c r="A23" s="2">
        <v>18</v>
      </c>
      <c r="B23" s="60" t="s">
        <v>137</v>
      </c>
      <c r="C23" s="112"/>
      <c r="D23" s="113"/>
      <c r="E23" s="114"/>
      <c r="F23" s="114"/>
      <c r="G23" s="114" t="s">
        <v>146</v>
      </c>
      <c r="H23" s="115">
        <v>0</v>
      </c>
      <c r="I23" s="115">
        <v>0</v>
      </c>
      <c r="J23" s="115">
        <v>0</v>
      </c>
      <c r="K23" s="115">
        <v>1259.822</v>
      </c>
      <c r="L23" s="115">
        <v>0</v>
      </c>
      <c r="M23" s="115">
        <v>0</v>
      </c>
      <c r="N23" s="115">
        <v>0</v>
      </c>
      <c r="O23" s="115">
        <v>1259.822</v>
      </c>
      <c r="P23" s="115">
        <v>0</v>
      </c>
      <c r="Q23" s="115">
        <v>0</v>
      </c>
      <c r="R23" s="115">
        <v>0</v>
      </c>
      <c r="S23" s="115">
        <v>0</v>
      </c>
      <c r="AA23" s="51">
        <v>2</v>
      </c>
    </row>
  </sheetData>
  <sheetProtection/>
  <mergeCells count="14">
    <mergeCell ref="C1:S1"/>
    <mergeCell ref="A2:S2"/>
    <mergeCell ref="A3:A5"/>
    <mergeCell ref="B3:B5"/>
    <mergeCell ref="E3:E5"/>
    <mergeCell ref="F3:F5"/>
    <mergeCell ref="G3:G5"/>
    <mergeCell ref="H3:H5"/>
    <mergeCell ref="I3:I5"/>
    <mergeCell ref="C3:C5"/>
    <mergeCell ref="D3:D5"/>
    <mergeCell ref="J4:M4"/>
    <mergeCell ref="J3:S3"/>
    <mergeCell ref="N4:Q4"/>
  </mergeCells>
  <printOptions horizontalCentered="1" verticalCentered="1"/>
  <pageMargins left="0.1968503937007874" right="0.1968503937007874" top="1.2598425196850394" bottom="0.11811023622047245" header="0.5118110236220472" footer="0.5118110236220472"/>
  <pageSetup fitToHeight="100" fitToWidth="1" horizontalDpi="300" verticalDpi="300" orientation="landscape" paperSize="9" scale="4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7"/>
  <sheetViews>
    <sheetView view="pageBreakPreview" zoomScale="75" zoomScaleNormal="75" zoomScaleSheetLayoutView="75" zoomScalePageLayoutView="0" workbookViewId="0" topLeftCell="A1">
      <selection activeCell="A8" sqref="A8"/>
    </sheetView>
  </sheetViews>
  <sheetFormatPr defaultColWidth="8.09765625" defaultRowHeight="14.25" outlineLevelCol="1"/>
  <cols>
    <col min="1" max="1" width="4.5" style="37" customWidth="1"/>
    <col min="2" max="2" width="24.19921875" style="37" customWidth="1"/>
    <col min="3" max="3" width="4.59765625" style="37" customWidth="1" outlineLevel="1"/>
    <col min="4" max="4" width="8.5" style="37" customWidth="1" outlineLevel="1"/>
    <col min="5" max="5" width="10.09765625" style="37" customWidth="1" outlineLevel="1"/>
    <col min="6" max="6" width="10.09765625" style="109" customWidth="1"/>
    <col min="7" max="7" width="10.8984375" style="37" customWidth="1"/>
    <col min="8" max="9" width="10.59765625" style="37" customWidth="1"/>
    <col min="10" max="10" width="17.3984375" style="37" customWidth="1"/>
    <col min="11" max="12" width="16.19921875" style="37" customWidth="1"/>
    <col min="13" max="13" width="18.8984375" style="37" customWidth="1"/>
    <col min="14" max="15" width="9.59765625" style="37" customWidth="1"/>
    <col min="16" max="16" width="11.59765625" style="37" customWidth="1"/>
    <col min="17" max="17" width="12" style="37" customWidth="1"/>
    <col min="18" max="16384" width="8.09765625" style="37" customWidth="1"/>
  </cols>
  <sheetData>
    <row r="1" ht="30" customHeight="1">
      <c r="Q1" s="87" t="s">
        <v>192</v>
      </c>
    </row>
    <row r="2" spans="1:17" s="99" customFormat="1" ht="36.75" customHeight="1">
      <c r="A2" s="142" t="str">
        <f>"Перечень объектов автомобильных дорог регионального значения, на которых осуществляется капитальный ремонт в "&amp;'1 Доходы  '!$N$1&amp;" году и в плановый период "&amp;'1 Доходы  '!$N$1+1&amp;" и "&amp;'1 Доходы  '!$N$1+2&amp;" годов"</f>
        <v>Перечень объектов автомобильных дорог регионального значения, на которых осуществляется капитальный ремонт в 2017 году и в плановый период 2018 и 2019 годов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</row>
    <row r="3" spans="1:17" s="89" customFormat="1" ht="55.5" customHeight="1">
      <c r="A3" s="140" t="s">
        <v>193</v>
      </c>
      <c r="B3" s="140" t="s">
        <v>194</v>
      </c>
      <c r="C3" s="143" t="s">
        <v>195</v>
      </c>
      <c r="D3" s="143" t="s">
        <v>196</v>
      </c>
      <c r="E3" s="140" t="s">
        <v>197</v>
      </c>
      <c r="F3" s="140"/>
      <c r="G3" s="141" t="s">
        <v>198</v>
      </c>
      <c r="H3" s="141"/>
      <c r="I3" s="138" t="s">
        <v>335</v>
      </c>
      <c r="J3" s="138"/>
      <c r="K3" s="138" t="s">
        <v>179</v>
      </c>
      <c r="L3" s="138" t="s">
        <v>200</v>
      </c>
      <c r="M3" s="138" t="s">
        <v>201</v>
      </c>
      <c r="N3" s="139" t="s">
        <v>202</v>
      </c>
      <c r="O3" s="139"/>
      <c r="P3" s="139"/>
      <c r="Q3" s="139"/>
    </row>
    <row r="4" spans="1:17" s="96" customFormat="1" ht="18.75" customHeight="1">
      <c r="A4" s="140"/>
      <c r="B4" s="140"/>
      <c r="C4" s="143"/>
      <c r="D4" s="143"/>
      <c r="E4" s="140" t="s">
        <v>203</v>
      </c>
      <c r="F4" s="140" t="s">
        <v>204</v>
      </c>
      <c r="G4" s="141" t="s">
        <v>32</v>
      </c>
      <c r="H4" s="141" t="s">
        <v>205</v>
      </c>
      <c r="I4" s="139" t="s">
        <v>32</v>
      </c>
      <c r="J4" s="141" t="s">
        <v>206</v>
      </c>
      <c r="K4" s="138"/>
      <c r="L4" s="138"/>
      <c r="M4" s="138"/>
      <c r="N4" s="119" t="str">
        <f>'1 Доходы  '!$N$1&amp;" год"</f>
        <v>2017 год</v>
      </c>
      <c r="O4" s="119"/>
      <c r="P4" s="19" t="str">
        <f>'1 Доходы  '!$N$1+1&amp;" год"</f>
        <v>2018 год</v>
      </c>
      <c r="Q4" s="19" t="str">
        <f>'1 Доходы  '!$N$1+2&amp;" год"</f>
        <v>2019 год</v>
      </c>
    </row>
    <row r="5" spans="1:17" s="96" customFormat="1" ht="116.25" customHeight="1">
      <c r="A5" s="140"/>
      <c r="B5" s="140"/>
      <c r="C5" s="143"/>
      <c r="D5" s="143"/>
      <c r="E5" s="140"/>
      <c r="F5" s="140"/>
      <c r="G5" s="141"/>
      <c r="H5" s="141"/>
      <c r="I5" s="139"/>
      <c r="J5" s="141"/>
      <c r="K5" s="138"/>
      <c r="L5" s="138"/>
      <c r="M5" s="138"/>
      <c r="N5" s="1" t="s">
        <v>4</v>
      </c>
      <c r="O5" s="1" t="s">
        <v>5</v>
      </c>
      <c r="P5" s="1" t="s">
        <v>4</v>
      </c>
      <c r="Q5" s="1" t="s">
        <v>4</v>
      </c>
    </row>
    <row r="6" spans="1:21" s="62" customFormat="1" ht="26.25" customHeight="1">
      <c r="A6" s="98">
        <v>1</v>
      </c>
      <c r="B6" s="71">
        <v>2</v>
      </c>
      <c r="C6" s="44">
        <v>3</v>
      </c>
      <c r="D6" s="44">
        <v>4</v>
      </c>
      <c r="E6" s="44">
        <v>5</v>
      </c>
      <c r="F6" s="85">
        <v>6</v>
      </c>
      <c r="G6" s="13">
        <v>7</v>
      </c>
      <c r="H6" s="13">
        <v>8</v>
      </c>
      <c r="I6" s="13">
        <v>9</v>
      </c>
      <c r="J6" s="13">
        <v>10</v>
      </c>
      <c r="K6" s="13">
        <v>11</v>
      </c>
      <c r="L6" s="13">
        <v>12</v>
      </c>
      <c r="M6" s="13">
        <v>13</v>
      </c>
      <c r="N6" s="35">
        <v>14</v>
      </c>
      <c r="O6" s="35">
        <v>15</v>
      </c>
      <c r="P6" s="35">
        <v>16</v>
      </c>
      <c r="Q6" s="35">
        <v>17</v>
      </c>
      <c r="R6" s="33"/>
      <c r="S6" s="33"/>
      <c r="T6" s="33"/>
      <c r="U6" s="33"/>
    </row>
    <row r="7" spans="1:22" ht="62.25">
      <c r="A7" s="111" t="s">
        <v>199</v>
      </c>
      <c r="B7" s="94" t="s">
        <v>334</v>
      </c>
      <c r="C7" s="20" t="s">
        <v>333</v>
      </c>
      <c r="D7" s="20">
        <v>4003</v>
      </c>
      <c r="E7" s="54">
        <v>42835</v>
      </c>
      <c r="F7" s="54">
        <v>43055</v>
      </c>
      <c r="G7" s="20">
        <v>0.05</v>
      </c>
      <c r="H7" s="20">
        <v>45.76</v>
      </c>
      <c r="I7" s="20">
        <v>0.05</v>
      </c>
      <c r="J7" s="20">
        <v>45.76</v>
      </c>
      <c r="K7" s="49">
        <v>16.207</v>
      </c>
      <c r="L7" s="49">
        <v>16.6</v>
      </c>
      <c r="M7" s="107">
        <v>16.011</v>
      </c>
      <c r="N7" s="30">
        <v>16.011</v>
      </c>
      <c r="O7" s="30">
        <v>16.011</v>
      </c>
      <c r="P7" s="30">
        <v>0</v>
      </c>
      <c r="Q7" s="30">
        <v>0</v>
      </c>
      <c r="R7" s="33"/>
      <c r="S7" s="33"/>
      <c r="T7" s="33"/>
      <c r="U7" s="33"/>
      <c r="V7" s="62"/>
    </row>
  </sheetData>
  <sheetProtection/>
  <mergeCells count="19">
    <mergeCell ref="A2:Q2"/>
    <mergeCell ref="A3:A5"/>
    <mergeCell ref="B3:B5"/>
    <mergeCell ref="C3:C5"/>
    <mergeCell ref="D3:D5"/>
    <mergeCell ref="E3:F3"/>
    <mergeCell ref="G3:H3"/>
    <mergeCell ref="I3:J3"/>
    <mergeCell ref="K3:K5"/>
    <mergeCell ref="L3:L5"/>
    <mergeCell ref="M3:M5"/>
    <mergeCell ref="N3:Q3"/>
    <mergeCell ref="E4:E5"/>
    <mergeCell ref="F4:F5"/>
    <mergeCell ref="G4:G5"/>
    <mergeCell ref="H4:H5"/>
    <mergeCell ref="I4:I5"/>
    <mergeCell ref="J4:J5"/>
    <mergeCell ref="N4:O4"/>
  </mergeCells>
  <printOptions/>
  <pageMargins left="0.3937007874015748" right="0.3937007874015748" top="1.3779527559055118" bottom="0.5905511811023623" header="0.5118110236220472" footer="0.5118110236220472"/>
  <pageSetup horizontalDpi="300" verticalDpi="300" orientation="landscape" paperSize="9" scale="6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9"/>
  <sheetViews>
    <sheetView view="pageBreakPreview" zoomScale="75" zoomScaleNormal="75" zoomScaleSheetLayoutView="75" zoomScalePageLayoutView="0" workbookViewId="0" topLeftCell="A19">
      <selection activeCell="F7" sqref="F7"/>
    </sheetView>
  </sheetViews>
  <sheetFormatPr defaultColWidth="9" defaultRowHeight="14.25"/>
  <cols>
    <col min="1" max="1" width="46.3984375" style="38" customWidth="1"/>
    <col min="2" max="2" width="10.8984375" style="100" customWidth="1"/>
    <col min="3" max="3" width="11.09765625" style="100" customWidth="1"/>
    <col min="4" max="4" width="18.09765625" style="38" customWidth="1"/>
    <col min="5" max="5" width="11" style="38" customWidth="1"/>
    <col min="6" max="6" width="10.59765625" style="38" customWidth="1"/>
    <col min="7" max="7" width="10.69921875" style="38" customWidth="1"/>
    <col min="8" max="16384" width="9" style="38" customWidth="1"/>
  </cols>
  <sheetData>
    <row r="1" spans="1:7" ht="18">
      <c r="A1" s="32"/>
      <c r="D1" s="32"/>
      <c r="E1" s="32"/>
      <c r="F1" s="32"/>
      <c r="G1" s="84" t="s">
        <v>216</v>
      </c>
    </row>
    <row r="2" spans="1:7" ht="39.75" customHeight="1">
      <c r="A2" s="144" t="s">
        <v>191</v>
      </c>
      <c r="B2" s="144"/>
      <c r="C2" s="144"/>
      <c r="D2" s="144"/>
      <c r="E2" s="144"/>
      <c r="F2" s="144"/>
      <c r="G2" s="144"/>
    </row>
    <row r="3" spans="1:7" ht="69" customHeight="1">
      <c r="A3" s="145" t="s">
        <v>218</v>
      </c>
      <c r="B3" s="146" t="s">
        <v>219</v>
      </c>
      <c r="C3" s="146"/>
      <c r="D3" s="145" t="s">
        <v>220</v>
      </c>
      <c r="E3" s="145" t="s">
        <v>221</v>
      </c>
      <c r="F3" s="145"/>
      <c r="G3" s="145" t="s">
        <v>222</v>
      </c>
    </row>
    <row r="4" spans="1:7" ht="27">
      <c r="A4" s="145"/>
      <c r="B4" s="15" t="s">
        <v>223</v>
      </c>
      <c r="C4" s="15" t="s">
        <v>224</v>
      </c>
      <c r="D4" s="145"/>
      <c r="E4" s="15" t="s">
        <v>225</v>
      </c>
      <c r="F4" s="15" t="s">
        <v>226</v>
      </c>
      <c r="G4" s="145"/>
    </row>
    <row r="5" spans="1:7" ht="13.5">
      <c r="A5" s="25">
        <v>1</v>
      </c>
      <c r="B5" s="25">
        <v>2</v>
      </c>
      <c r="C5" s="25">
        <v>3</v>
      </c>
      <c r="D5" s="15">
        <v>4</v>
      </c>
      <c r="E5" s="15">
        <v>5</v>
      </c>
      <c r="F5" s="15">
        <v>6</v>
      </c>
      <c r="G5" s="15">
        <v>7</v>
      </c>
    </row>
    <row r="6" spans="1:7" ht="13.5">
      <c r="A6" s="72" t="s">
        <v>217</v>
      </c>
      <c r="B6" s="58" t="s">
        <v>190</v>
      </c>
      <c r="C6" s="58" t="s">
        <v>189</v>
      </c>
      <c r="D6" s="15" t="s">
        <v>215</v>
      </c>
      <c r="E6" s="66" t="s">
        <v>214</v>
      </c>
      <c r="F6" s="66" t="s">
        <v>213</v>
      </c>
      <c r="G6" s="15"/>
    </row>
    <row r="7" spans="1:7" ht="13.5">
      <c r="A7" s="72" t="s">
        <v>186</v>
      </c>
      <c r="B7" s="58" t="s">
        <v>212</v>
      </c>
      <c r="C7" s="58" t="s">
        <v>211</v>
      </c>
      <c r="D7" s="15" t="s">
        <v>215</v>
      </c>
      <c r="E7" s="66" t="s">
        <v>214</v>
      </c>
      <c r="F7" s="66" t="s">
        <v>213</v>
      </c>
      <c r="G7" s="15"/>
    </row>
    <row r="8" spans="1:7" ht="27">
      <c r="A8" s="72" t="s">
        <v>182</v>
      </c>
      <c r="B8" s="58" t="s">
        <v>181</v>
      </c>
      <c r="C8" s="58" t="s">
        <v>210</v>
      </c>
      <c r="D8" s="15" t="s">
        <v>215</v>
      </c>
      <c r="E8" s="66" t="s">
        <v>214</v>
      </c>
      <c r="F8" s="66" t="s">
        <v>209</v>
      </c>
      <c r="G8" s="15"/>
    </row>
    <row r="9" spans="1:7" ht="27">
      <c r="A9" s="72" t="s">
        <v>208</v>
      </c>
      <c r="B9" s="58" t="s">
        <v>183</v>
      </c>
      <c r="C9" s="58" t="s">
        <v>207</v>
      </c>
      <c r="D9" s="15" t="s">
        <v>215</v>
      </c>
      <c r="E9" s="66" t="s">
        <v>332</v>
      </c>
      <c r="F9" s="66" t="s">
        <v>331</v>
      </c>
      <c r="G9" s="15"/>
    </row>
    <row r="10" spans="1:7" ht="13.5">
      <c r="A10" s="72" t="s">
        <v>330</v>
      </c>
      <c r="B10" s="58" t="s">
        <v>188</v>
      </c>
      <c r="C10" s="58" t="s">
        <v>329</v>
      </c>
      <c r="D10" s="15" t="s">
        <v>187</v>
      </c>
      <c r="E10" s="66" t="s">
        <v>209</v>
      </c>
      <c r="F10" s="66" t="s">
        <v>185</v>
      </c>
      <c r="G10" s="15"/>
    </row>
    <row r="11" spans="1:7" ht="13.5">
      <c r="A11" s="72" t="s">
        <v>184</v>
      </c>
      <c r="B11" s="58" t="s">
        <v>316</v>
      </c>
      <c r="C11" s="58" t="s">
        <v>180</v>
      </c>
      <c r="D11" s="15" t="s">
        <v>215</v>
      </c>
      <c r="E11" s="66" t="s">
        <v>209</v>
      </c>
      <c r="F11" s="66" t="s">
        <v>136</v>
      </c>
      <c r="G11" s="15"/>
    </row>
    <row r="12" spans="1:7" ht="13.5">
      <c r="A12" s="72" t="s">
        <v>184</v>
      </c>
      <c r="B12" s="58" t="s">
        <v>135</v>
      </c>
      <c r="C12" s="58" t="s">
        <v>134</v>
      </c>
      <c r="D12" s="15" t="s">
        <v>215</v>
      </c>
      <c r="E12" s="66" t="s">
        <v>214</v>
      </c>
      <c r="F12" s="66" t="s">
        <v>132</v>
      </c>
      <c r="G12" s="15"/>
    </row>
    <row r="13" spans="1:7" ht="13.5">
      <c r="A13" s="72" t="s">
        <v>184</v>
      </c>
      <c r="B13" s="58" t="s">
        <v>131</v>
      </c>
      <c r="C13" s="58" t="s">
        <v>130</v>
      </c>
      <c r="D13" s="15" t="s">
        <v>215</v>
      </c>
      <c r="E13" s="66" t="s">
        <v>331</v>
      </c>
      <c r="F13" s="66" t="s">
        <v>213</v>
      </c>
      <c r="G13" s="15"/>
    </row>
    <row r="14" spans="1:7" ht="27">
      <c r="A14" s="72" t="s">
        <v>129</v>
      </c>
      <c r="B14" s="58" t="s">
        <v>127</v>
      </c>
      <c r="C14" s="58" t="s">
        <v>126</v>
      </c>
      <c r="D14" s="15" t="s">
        <v>215</v>
      </c>
      <c r="E14" s="66" t="s">
        <v>331</v>
      </c>
      <c r="F14" s="66" t="s">
        <v>213</v>
      </c>
      <c r="G14" s="15"/>
    </row>
    <row r="15" spans="1:7" ht="13.5">
      <c r="A15" s="72" t="s">
        <v>125</v>
      </c>
      <c r="B15" s="58" t="s">
        <v>124</v>
      </c>
      <c r="C15" s="58" t="s">
        <v>122</v>
      </c>
      <c r="D15" s="15" t="s">
        <v>215</v>
      </c>
      <c r="E15" s="66" t="s">
        <v>214</v>
      </c>
      <c r="F15" s="66" t="s">
        <v>132</v>
      </c>
      <c r="G15" s="15"/>
    </row>
    <row r="16" spans="1:7" ht="27">
      <c r="A16" s="72" t="s">
        <v>121</v>
      </c>
      <c r="B16" s="58" t="s">
        <v>120</v>
      </c>
      <c r="C16" s="58" t="s">
        <v>119</v>
      </c>
      <c r="D16" s="15" t="s">
        <v>215</v>
      </c>
      <c r="E16" s="66" t="s">
        <v>214</v>
      </c>
      <c r="F16" s="66" t="s">
        <v>213</v>
      </c>
      <c r="G16" s="15"/>
    </row>
    <row r="17" spans="1:7" ht="27">
      <c r="A17" s="72" t="s">
        <v>116</v>
      </c>
      <c r="B17" s="58" t="s">
        <v>190</v>
      </c>
      <c r="C17" s="58" t="s">
        <v>115</v>
      </c>
      <c r="D17" s="15" t="s">
        <v>215</v>
      </c>
      <c r="E17" s="66" t="s">
        <v>114</v>
      </c>
      <c r="F17" s="66" t="s">
        <v>214</v>
      </c>
      <c r="G17" s="15"/>
    </row>
    <row r="18" spans="1:7" ht="13.5">
      <c r="A18" s="72" t="s">
        <v>113</v>
      </c>
      <c r="B18" s="58" t="s">
        <v>111</v>
      </c>
      <c r="C18" s="58" t="s">
        <v>110</v>
      </c>
      <c r="D18" s="15" t="s">
        <v>187</v>
      </c>
      <c r="E18" s="66" t="s">
        <v>132</v>
      </c>
      <c r="F18" s="66" t="s">
        <v>136</v>
      </c>
      <c r="G18" s="15"/>
    </row>
    <row r="19" spans="1:7" ht="13.5">
      <c r="A19" s="72" t="s">
        <v>109</v>
      </c>
      <c r="B19" s="58" t="s">
        <v>108</v>
      </c>
      <c r="C19" s="58" t="s">
        <v>106</v>
      </c>
      <c r="D19" s="15" t="s">
        <v>215</v>
      </c>
      <c r="E19" s="66" t="s">
        <v>105</v>
      </c>
      <c r="F19" s="66" t="s">
        <v>213</v>
      </c>
      <c r="G19" s="15"/>
    </row>
    <row r="20" spans="1:7" ht="13.5">
      <c r="A20" s="72" t="s">
        <v>104</v>
      </c>
      <c r="B20" s="58" t="s">
        <v>103</v>
      </c>
      <c r="C20" s="58" t="s">
        <v>100</v>
      </c>
      <c r="D20" s="15" t="s">
        <v>187</v>
      </c>
      <c r="E20" s="66" t="s">
        <v>209</v>
      </c>
      <c r="F20" s="66" t="s">
        <v>185</v>
      </c>
      <c r="G20" s="15"/>
    </row>
    <row r="21" spans="1:7" ht="41.25">
      <c r="A21" s="72" t="s">
        <v>99</v>
      </c>
      <c r="B21" s="58" t="s">
        <v>98</v>
      </c>
      <c r="C21" s="58" t="s">
        <v>97</v>
      </c>
      <c r="D21" s="15" t="s">
        <v>95</v>
      </c>
      <c r="E21" s="66" t="s">
        <v>94</v>
      </c>
      <c r="F21" s="66" t="s">
        <v>132</v>
      </c>
      <c r="G21" s="15"/>
    </row>
    <row r="22" spans="1:7" ht="13.5">
      <c r="A22" s="72" t="s">
        <v>93</v>
      </c>
      <c r="B22" s="58" t="s">
        <v>190</v>
      </c>
      <c r="C22" s="58" t="s">
        <v>92</v>
      </c>
      <c r="D22" s="15" t="s">
        <v>215</v>
      </c>
      <c r="E22" s="66" t="s">
        <v>114</v>
      </c>
      <c r="F22" s="66" t="s">
        <v>214</v>
      </c>
      <c r="G22" s="15"/>
    </row>
    <row r="23" spans="1:7" ht="13.5">
      <c r="A23" s="72" t="s">
        <v>89</v>
      </c>
      <c r="B23" s="58" t="s">
        <v>190</v>
      </c>
      <c r="C23" s="58" t="s">
        <v>115</v>
      </c>
      <c r="D23" s="15" t="s">
        <v>215</v>
      </c>
      <c r="E23" s="66" t="s">
        <v>332</v>
      </c>
      <c r="F23" s="66" t="s">
        <v>331</v>
      </c>
      <c r="G23" s="15"/>
    </row>
    <row r="24" spans="1:7" ht="13.5">
      <c r="A24" s="72" t="s">
        <v>88</v>
      </c>
      <c r="B24" s="58" t="s">
        <v>87</v>
      </c>
      <c r="C24" s="58" t="s">
        <v>86</v>
      </c>
      <c r="D24" s="15" t="s">
        <v>215</v>
      </c>
      <c r="E24" s="66" t="s">
        <v>213</v>
      </c>
      <c r="F24" s="66" t="s">
        <v>132</v>
      </c>
      <c r="G24" s="15"/>
    </row>
    <row r="25" spans="1:7" ht="27">
      <c r="A25" s="72" t="s">
        <v>84</v>
      </c>
      <c r="B25" s="58" t="s">
        <v>83</v>
      </c>
      <c r="C25" s="58" t="s">
        <v>82</v>
      </c>
      <c r="D25" s="15" t="s">
        <v>215</v>
      </c>
      <c r="E25" s="66" t="s">
        <v>332</v>
      </c>
      <c r="F25" s="66" t="s">
        <v>331</v>
      </c>
      <c r="G25" s="15"/>
    </row>
    <row r="26" spans="1:7" ht="13.5">
      <c r="A26" s="72" t="s">
        <v>81</v>
      </c>
      <c r="B26" s="58" t="s">
        <v>78</v>
      </c>
      <c r="C26" s="58" t="s">
        <v>77</v>
      </c>
      <c r="D26" s="15" t="s">
        <v>76</v>
      </c>
      <c r="E26" s="66" t="s">
        <v>136</v>
      </c>
      <c r="F26" s="66" t="s">
        <v>75</v>
      </c>
      <c r="G26" s="15"/>
    </row>
    <row r="27" spans="1:7" ht="27">
      <c r="A27" s="72" t="s">
        <v>73</v>
      </c>
      <c r="B27" s="58" t="s">
        <v>72</v>
      </c>
      <c r="C27" s="58" t="s">
        <v>71</v>
      </c>
      <c r="D27" s="15" t="s">
        <v>215</v>
      </c>
      <c r="E27" s="66" t="s">
        <v>332</v>
      </c>
      <c r="F27" s="66" t="s">
        <v>331</v>
      </c>
      <c r="G27" s="15"/>
    </row>
    <row r="28" spans="1:7" ht="13.5">
      <c r="A28" s="72" t="s">
        <v>70</v>
      </c>
      <c r="B28" s="58" t="s">
        <v>68</v>
      </c>
      <c r="C28" s="58" t="s">
        <v>67</v>
      </c>
      <c r="D28" s="15" t="s">
        <v>215</v>
      </c>
      <c r="E28" s="66" t="s">
        <v>114</v>
      </c>
      <c r="F28" s="66" t="s">
        <v>214</v>
      </c>
      <c r="G28" s="15"/>
    </row>
    <row r="29" spans="1:7" ht="27">
      <c r="A29" s="72" t="s">
        <v>66</v>
      </c>
      <c r="B29" s="58" t="s">
        <v>65</v>
      </c>
      <c r="C29" s="58" t="s">
        <v>63</v>
      </c>
      <c r="D29" s="15" t="s">
        <v>187</v>
      </c>
      <c r="E29" s="66" t="s">
        <v>132</v>
      </c>
      <c r="F29" s="66" t="s">
        <v>185</v>
      </c>
      <c r="G29" s="15"/>
    </row>
    <row r="30" spans="1:7" ht="13.5">
      <c r="A30" s="72" t="s">
        <v>62</v>
      </c>
      <c r="B30" s="58" t="s">
        <v>190</v>
      </c>
      <c r="C30" s="58" t="s">
        <v>61</v>
      </c>
      <c r="D30" s="15" t="s">
        <v>215</v>
      </c>
      <c r="E30" s="66" t="s">
        <v>114</v>
      </c>
      <c r="F30" s="66" t="s">
        <v>214</v>
      </c>
      <c r="G30" s="15"/>
    </row>
    <row r="31" spans="1:7" ht="13.5">
      <c r="A31" s="72" t="s">
        <v>60</v>
      </c>
      <c r="B31" s="58" t="s">
        <v>190</v>
      </c>
      <c r="C31" s="58" t="s">
        <v>56</v>
      </c>
      <c r="D31" s="15" t="s">
        <v>215</v>
      </c>
      <c r="E31" s="66" t="s">
        <v>213</v>
      </c>
      <c r="F31" s="66" t="s">
        <v>132</v>
      </c>
      <c r="G31" s="15"/>
    </row>
    <row r="32" spans="1:7" ht="27">
      <c r="A32" s="72" t="s">
        <v>54</v>
      </c>
      <c r="B32" s="58" t="s">
        <v>52</v>
      </c>
      <c r="C32" s="58" t="s">
        <v>52</v>
      </c>
      <c r="D32" s="15" t="s">
        <v>215</v>
      </c>
      <c r="E32" s="66" t="s">
        <v>94</v>
      </c>
      <c r="F32" s="66" t="s">
        <v>132</v>
      </c>
      <c r="G32" s="15"/>
    </row>
    <row r="33" spans="1:7" ht="27">
      <c r="A33" s="72" t="s">
        <v>50</v>
      </c>
      <c r="B33" s="58" t="s">
        <v>47</v>
      </c>
      <c r="C33" s="58" t="s">
        <v>47</v>
      </c>
      <c r="D33" s="15" t="s">
        <v>44</v>
      </c>
      <c r="E33" s="66" t="s">
        <v>94</v>
      </c>
      <c r="F33" s="66" t="s">
        <v>209</v>
      </c>
      <c r="G33" s="15"/>
    </row>
    <row r="34" spans="1:7" ht="27">
      <c r="A34" s="72" t="s">
        <v>42</v>
      </c>
      <c r="B34" s="58" t="s">
        <v>78</v>
      </c>
      <c r="C34" s="58" t="s">
        <v>40</v>
      </c>
      <c r="D34" s="15" t="s">
        <v>215</v>
      </c>
      <c r="E34" s="66" t="s">
        <v>132</v>
      </c>
      <c r="F34" s="66" t="s">
        <v>38</v>
      </c>
      <c r="G34" s="15"/>
    </row>
    <row r="35" spans="1:7" ht="27">
      <c r="A35" s="72" t="s">
        <v>36</v>
      </c>
      <c r="B35" s="58" t="s">
        <v>33</v>
      </c>
      <c r="C35" s="58" t="s">
        <v>33</v>
      </c>
      <c r="D35" s="15" t="s">
        <v>215</v>
      </c>
      <c r="E35" s="66" t="s">
        <v>332</v>
      </c>
      <c r="F35" s="66" t="s">
        <v>209</v>
      </c>
      <c r="G35" s="15"/>
    </row>
    <row r="36" spans="1:7" ht="27">
      <c r="A36" s="72" t="s">
        <v>291</v>
      </c>
      <c r="B36" s="58" t="s">
        <v>339</v>
      </c>
      <c r="C36" s="58" t="s">
        <v>339</v>
      </c>
      <c r="D36" s="15" t="s">
        <v>95</v>
      </c>
      <c r="E36" s="66" t="s">
        <v>332</v>
      </c>
      <c r="F36" s="66" t="s">
        <v>75</v>
      </c>
      <c r="G36" s="15"/>
    </row>
    <row r="37" spans="1:7" ht="27">
      <c r="A37" s="72" t="s">
        <v>290</v>
      </c>
      <c r="B37" s="58" t="s">
        <v>338</v>
      </c>
      <c r="C37" s="58" t="s">
        <v>338</v>
      </c>
      <c r="D37" s="15" t="s">
        <v>215</v>
      </c>
      <c r="E37" s="66" t="s">
        <v>114</v>
      </c>
      <c r="F37" s="66" t="s">
        <v>213</v>
      </c>
      <c r="G37" s="15"/>
    </row>
    <row r="38" spans="1:7" ht="110.25">
      <c r="A38" s="72" t="s">
        <v>26</v>
      </c>
      <c r="B38" s="58" t="s">
        <v>25</v>
      </c>
      <c r="C38" s="58" t="s">
        <v>24</v>
      </c>
      <c r="D38" s="15" t="s">
        <v>44</v>
      </c>
      <c r="E38" s="66" t="s">
        <v>136</v>
      </c>
      <c r="F38" s="66" t="s">
        <v>38</v>
      </c>
      <c r="G38" s="15"/>
    </row>
    <row r="39" spans="1:7" ht="41.25">
      <c r="A39" s="72" t="s">
        <v>23</v>
      </c>
      <c r="B39" s="58" t="s">
        <v>22</v>
      </c>
      <c r="C39" s="58" t="s">
        <v>21</v>
      </c>
      <c r="D39" s="15" t="s">
        <v>44</v>
      </c>
      <c r="E39" s="66" t="s">
        <v>132</v>
      </c>
      <c r="F39" s="66" t="s">
        <v>38</v>
      </c>
      <c r="G39" s="15"/>
    </row>
  </sheetData>
  <sheetProtection/>
  <mergeCells count="6">
    <mergeCell ref="A2:G2"/>
    <mergeCell ref="A3:A4"/>
    <mergeCell ref="B3:C3"/>
    <mergeCell ref="D3:D4"/>
    <mergeCell ref="E3:F3"/>
    <mergeCell ref="G3:G4"/>
  </mergeCells>
  <printOptions/>
  <pageMargins left="0.7875" right="0.39375" top="0.39375" bottom="0.39375" header="0.5118055555555555" footer="0.5118055555555555"/>
  <pageSetup horizontalDpi="300" verticalDpi="300" orientation="portrait" paperSize="9" scale="6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="75" zoomScaleNormal="75" zoomScaleSheetLayoutView="75" zoomScalePageLayoutView="0" workbookViewId="0" topLeftCell="A1">
      <selection activeCell="C4" sqref="C4"/>
    </sheetView>
  </sheetViews>
  <sheetFormatPr defaultColWidth="9" defaultRowHeight="14.25"/>
  <cols>
    <col min="1" max="1" width="6" style="6" customWidth="1"/>
    <col min="2" max="2" width="30.8984375" style="6" customWidth="1"/>
    <col min="3" max="3" width="16.19921875" style="6" customWidth="1"/>
    <col min="4" max="4" width="16.5" style="6" customWidth="1"/>
    <col min="5" max="5" width="14.8984375" style="6" customWidth="1"/>
    <col min="6" max="6" width="16.69921875" style="6" customWidth="1"/>
    <col min="7" max="7" width="10.5" style="6" customWidth="1"/>
    <col min="8" max="8" width="16.09765625" style="6" customWidth="1"/>
    <col min="9" max="9" width="13.19921875" style="6" customWidth="1"/>
    <col min="10" max="10" width="16" style="6" customWidth="1"/>
    <col min="11" max="11" width="15.59765625" style="6" customWidth="1"/>
    <col min="12" max="12" width="14.8984375" style="6" customWidth="1"/>
    <col min="13" max="13" width="9" style="6" customWidth="1"/>
    <col min="14" max="14" width="11.8984375" style="6" customWidth="1"/>
    <col min="15" max="15" width="11.3984375" style="6" customWidth="1"/>
    <col min="16" max="16" width="10" style="6" customWidth="1"/>
    <col min="17" max="16384" width="9" style="6" customWidth="1"/>
  </cols>
  <sheetData>
    <row r="1" ht="18">
      <c r="J1" s="6" t="s">
        <v>228</v>
      </c>
    </row>
    <row r="2" spans="1:10" ht="72" customHeight="1">
      <c r="A2" s="144" t="s">
        <v>229</v>
      </c>
      <c r="B2" s="144"/>
      <c r="C2" s="144"/>
      <c r="D2" s="144"/>
      <c r="E2" s="144"/>
      <c r="F2" s="144"/>
      <c r="G2" s="144"/>
      <c r="H2" s="144"/>
      <c r="I2" s="144"/>
      <c r="J2" s="144"/>
    </row>
    <row r="3" spans="1:10" s="45" customFormat="1" ht="18.75" customHeight="1">
      <c r="A3" s="119" t="s">
        <v>173</v>
      </c>
      <c r="B3" s="119" t="s">
        <v>230</v>
      </c>
      <c r="C3" s="119" t="s">
        <v>227</v>
      </c>
      <c r="D3" s="119"/>
      <c r="E3" s="119"/>
      <c r="F3" s="119"/>
      <c r="G3" s="119"/>
      <c r="H3" s="119"/>
      <c r="I3" s="119"/>
      <c r="J3" s="119"/>
    </row>
    <row r="4" spans="1:10" s="45" customFormat="1" ht="90">
      <c r="A4" s="119"/>
      <c r="B4" s="119"/>
      <c r="C4" s="1" t="s">
        <v>232</v>
      </c>
      <c r="D4" s="1" t="s">
        <v>233</v>
      </c>
      <c r="E4" s="1" t="s">
        <v>234</v>
      </c>
      <c r="F4" s="1" t="s">
        <v>235</v>
      </c>
      <c r="G4" s="1" t="s">
        <v>236</v>
      </c>
      <c r="H4" s="1" t="s">
        <v>237</v>
      </c>
      <c r="I4" s="1" t="s">
        <v>238</v>
      </c>
      <c r="J4" s="1" t="s">
        <v>239</v>
      </c>
    </row>
    <row r="5" spans="1:10" ht="18">
      <c r="A5" s="10">
        <v>1</v>
      </c>
      <c r="B5" s="10">
        <v>1</v>
      </c>
      <c r="C5" s="10">
        <v>2</v>
      </c>
      <c r="D5" s="10">
        <v>3</v>
      </c>
      <c r="E5" s="8">
        <v>4</v>
      </c>
      <c r="F5" s="8">
        <v>5</v>
      </c>
      <c r="G5" s="8">
        <v>6</v>
      </c>
      <c r="H5" s="8">
        <v>7</v>
      </c>
      <c r="I5" s="8">
        <v>8</v>
      </c>
      <c r="J5" s="8">
        <v>9</v>
      </c>
    </row>
    <row r="6" spans="1:10" ht="18">
      <c r="A6" s="80">
        <v>1</v>
      </c>
      <c r="B6" s="104" t="s">
        <v>231</v>
      </c>
      <c r="C6" s="64">
        <v>39.962409</v>
      </c>
      <c r="D6" s="64"/>
      <c r="E6" s="21"/>
      <c r="F6" s="21">
        <v>15.84433867</v>
      </c>
      <c r="G6" s="21">
        <v>321.394453</v>
      </c>
      <c r="H6" s="21">
        <v>3.425693</v>
      </c>
      <c r="I6" s="21">
        <v>950.09025</v>
      </c>
      <c r="J6" s="21">
        <v>1.080541</v>
      </c>
    </row>
  </sheetData>
  <sheetProtection/>
  <mergeCells count="4">
    <mergeCell ref="A2:J2"/>
    <mergeCell ref="A3:A4"/>
    <mergeCell ref="B3:B4"/>
    <mergeCell ref="C3:J3"/>
  </mergeCells>
  <printOptions/>
  <pageMargins left="0.5118110236220472" right="0.3937007874015748" top="1.3779527559055118" bottom="0.5905511811023623" header="0.5118110236220472" footer="0.5118110236220472"/>
  <pageSetup horizontalDpi="300" verticalDpi="3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Информация</dc:title>
  <dc:subject/>
  <dc:creator>Пинаев С.И.</dc:creator>
  <cp:keywords/>
  <dc:description/>
  <cp:lastModifiedBy>PinaevSI</cp:lastModifiedBy>
  <cp:lastPrinted>2018-05-11T14:49:19Z</cp:lastPrinted>
  <dcterms:created xsi:type="dcterms:W3CDTF">2018-05-08T07:34:34Z</dcterms:created>
  <dcterms:modified xsi:type="dcterms:W3CDTF">2018-05-11T14:55:26Z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XXJ7TYMEEKJ2-505-14</vt:lpwstr>
  </property>
  <property fmtid="{D5CDD505-2E9C-101B-9397-08002B2CF9AE}" pid="4" name="_dlc_DocIdItemGu">
    <vt:lpwstr>268d1c5a-bec0-44b3-bb17-f3eb69b7b28c</vt:lpwstr>
  </property>
  <property fmtid="{D5CDD505-2E9C-101B-9397-08002B2CF9AE}" pid="5" name="_dlc_DocIdU">
    <vt:lpwstr>https://vip.gov.mari.ru/minprom/_layouts/DocIdRedir.aspx?ID=XXJ7TYMEEKJ2-505-14, XXJ7TYMEEKJ2-505-14</vt:lpwstr>
  </property>
  <property fmtid="{D5CDD505-2E9C-101B-9397-08002B2CF9AE}" pid="6" name="Описан">
    <vt:lpwstr>об основных направлениях расходования ассигнований дорожного фонда Республики Марий Эл за 2017 год</vt:lpwstr>
  </property>
</Properties>
</file>