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9720" windowHeight="12105" tabRatio="602" activeTab="0"/>
  </bookViews>
  <sheets>
    <sheet name="на 01.10.18 " sheetId="1" r:id="rId1"/>
  </sheets>
  <definedNames>
    <definedName name="Z_500E58A8_FBEB_4085_BB09_B2D65F451C5A_.wvu.PrintTitles" localSheetId="0" hidden="1">'на 01.10.18 '!$4:$5</definedName>
    <definedName name="Z_500E58A8_FBEB_4085_BB09_B2D65F451C5A_.wvu.Rows" localSheetId="0" hidden="1">'на 01.10.18 '!$16:$16</definedName>
    <definedName name="Z_65FA7F10_471B_4876_A357_0DD4066091DE_.wvu.PrintTitles" localSheetId="0" hidden="1">'на 01.10.18 '!$4:$5</definedName>
    <definedName name="Z_65FA7F10_471B_4876_A357_0DD4066091DE_.wvu.Rows" localSheetId="0" hidden="1">'на 01.10.18 '!$16:$16</definedName>
    <definedName name="Z_77B8EEA6_A9F6_46BF_82FF_4EDB3A3BB37C_.wvu.PrintTitles" localSheetId="0" hidden="1">'на 01.10.18 '!$4:$5</definedName>
    <definedName name="Z_77B8EEA6_A9F6_46BF_82FF_4EDB3A3BB37C_.wvu.Rows" localSheetId="0" hidden="1">'на 01.10.18 '!$16:$16</definedName>
    <definedName name="Z_96FF283B_A957_4856_A721_A36139A7C820_.wvu.PrintTitles" localSheetId="0" hidden="1">'на 01.10.18 '!$4:$5</definedName>
    <definedName name="Z_96FF283B_A957_4856_A721_A36139A7C820_.wvu.Rows" localSheetId="0" hidden="1">'на 01.10.18 '!$16:$16</definedName>
    <definedName name="Z_9F89E191_6E74_4ED1_8A84_DBD75FFEE562_.wvu.PrintTitles" localSheetId="0" hidden="1">'на 01.10.18 '!$4:$5</definedName>
    <definedName name="Z_9F89E191_6E74_4ED1_8A84_DBD75FFEE562_.wvu.Rows" localSheetId="0" hidden="1">'на 01.10.18 '!$16:$16</definedName>
    <definedName name="Z_EE0DCA7E_2D3F_443A_B9F7_09A626099614_.wvu.PrintTitles" localSheetId="0" hidden="1">'на 01.10.18 '!$4:$5</definedName>
    <definedName name="Z_EE0DCA7E_2D3F_443A_B9F7_09A626099614_.wvu.Rows" localSheetId="0" hidden="1">'на 01.10.18 '!$16:$16</definedName>
    <definedName name="Z_EFC1F0C8_350E_47B4_9F65_99F192C49E53_.wvu.PrintTitles" localSheetId="0" hidden="1">'на 01.10.18 '!$4:$5</definedName>
    <definedName name="Z_EFC1F0C8_350E_47B4_9F65_99F192C49E53_.wvu.Rows" localSheetId="0" hidden="1">'на 01.10.18 '!$16:$16</definedName>
    <definedName name="Z_FC456E20_D1C0_40A3_9512_7ADAF53436F7_.wvu.PrintTitles" localSheetId="0" hidden="1">'на 01.10.18 '!$4:$5</definedName>
    <definedName name="Z_FC456E20_D1C0_40A3_9512_7ADAF53436F7_.wvu.Rows" localSheetId="0" hidden="1">'на 01.10.18 '!$16:$16</definedName>
    <definedName name="_xlnm.Print_Titles" localSheetId="0">'на 01.10.18 '!$5:$6</definedName>
    <definedName name="_xlnm.Print_Area" localSheetId="0">'на 01.10.18 '!$A$1:$L$121</definedName>
  </definedNames>
  <calcPr fullCalcOnLoad="1"/>
</workbook>
</file>

<file path=xl/sharedStrings.xml><?xml version="1.0" encoding="utf-8"?>
<sst xmlns="http://schemas.openxmlformats.org/spreadsheetml/2006/main" count="239" uniqueCount="239">
  <si>
    <t>Общегосударственные вопросы</t>
  </si>
  <si>
    <t xml:space="preserve">0104      </t>
  </si>
  <si>
    <t>0107</t>
  </si>
  <si>
    <t>Обеспечение проведения выборов и референдумов</t>
  </si>
  <si>
    <t>0112</t>
  </si>
  <si>
    <t>0113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</si>
  <si>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</si>
  <si>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</si>
  <si>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0300</t>
  </si>
  <si>
    <t>0309</t>
  </si>
  <si>
    <t>0310</t>
  </si>
  <si>
    <t>0400</t>
  </si>
  <si>
    <t>0401</t>
  </si>
  <si>
    <t>Общеэкономические вопросы</t>
  </si>
  <si>
    <t>0404</t>
  </si>
  <si>
    <t>0405</t>
  </si>
  <si>
    <t>Сельское хозяйство и рыболовство</t>
  </si>
  <si>
    <t>0406</t>
  </si>
  <si>
    <t>0407</t>
  </si>
  <si>
    <t>Лесное хозяйство</t>
  </si>
  <si>
    <t>0408</t>
  </si>
  <si>
    <t>Транспорт</t>
  </si>
  <si>
    <t>0502</t>
  </si>
  <si>
    <t>0702</t>
  </si>
  <si>
    <t>0704</t>
  </si>
  <si>
    <t>Другие вопросы в области образования</t>
  </si>
  <si>
    <t>0804</t>
  </si>
  <si>
    <t>Пенсионное обеспечение</t>
  </si>
  <si>
    <t>Социальное обслуживание населения</t>
  </si>
  <si>
    <t>1003</t>
  </si>
  <si>
    <t>000 2 00 00000 00 0000 000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</si>
  <si>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</si>
  <si>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</si>
  <si>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</si>
  <si>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</si>
  <si>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</si>
  <si>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000 1 09 00000 00 0000 000</t>
  </si>
  <si>
    <t>000 1 11 00000 00 0000 000</t>
  </si>
  <si>
    <t>000 1 12 00000 00 0000 000</t>
  </si>
  <si>
    <t>Налог на доходы физических лиц</t>
  </si>
  <si>
    <t>0100</t>
  </si>
  <si>
    <t>0102</t>
  </si>
  <si>
    <t>0103</t>
  </si>
  <si>
    <t>0105</t>
  </si>
  <si>
    <t>0106</t>
  </si>
  <si>
    <t>0500</t>
  </si>
  <si>
    <t>0600</t>
  </si>
  <si>
    <t>0501</t>
  </si>
  <si>
    <t>0700</t>
  </si>
  <si>
    <t>0705</t>
  </si>
  <si>
    <t>0707</t>
  </si>
  <si>
    <t>0800</t>
  </si>
  <si>
    <t>0801</t>
  </si>
  <si>
    <t>0900</t>
  </si>
  <si>
    <t>0902</t>
  </si>
  <si>
    <t>1000</t>
  </si>
  <si>
    <t>1001</t>
  </si>
  <si>
    <t>1002</t>
  </si>
  <si>
    <t>1004</t>
  </si>
  <si>
    <t>1100</t>
  </si>
  <si>
    <t>1101</t>
  </si>
  <si>
    <t>1102</t>
  </si>
  <si>
    <t>Жилищное хозяйство</t>
  </si>
  <si>
    <t>Коммунальное хозяйство</t>
  </si>
  <si>
    <t>Общее образование</t>
  </si>
  <si>
    <t>Телевидение и радиовещание</t>
  </si>
  <si>
    <t>Периодическая печать и издательства</t>
  </si>
  <si>
    <t>Резервные фонды</t>
  </si>
  <si>
    <t>0709</t>
  </si>
  <si>
    <t>Налог на прибыль организаций</t>
  </si>
  <si>
    <t>Транспортный налог</t>
  </si>
  <si>
    <t>0901</t>
  </si>
  <si>
    <t>Раздел 1. ДОХОДЫ</t>
  </si>
  <si>
    <t>000 1 00 00000 00 0000 000</t>
  </si>
  <si>
    <t>000 1 01 00000 00 0000 000</t>
  </si>
  <si>
    <t>000 1 01 01000 00 0000 110</t>
  </si>
  <si>
    <t>000 1 01 02000 01 0000 110</t>
  </si>
  <si>
    <t>000 1 03 00000 00 0000 000</t>
  </si>
  <si>
    <t>000 1 03 02000 01 0000 110</t>
  </si>
  <si>
    <t>000 1 05 00000 00 0000 000</t>
  </si>
  <si>
    <t>000 1 05 03000 01 0000 110</t>
  </si>
  <si>
    <t>Единый сельскохозяйственный налог</t>
  </si>
  <si>
    <t>000 1 06 00000 00 0000 000</t>
  </si>
  <si>
    <t>000 1 06 02000 02 0000 110</t>
  </si>
  <si>
    <t>Налог на имущество организаций</t>
  </si>
  <si>
    <t>000 1 06 04000 02 0000 110</t>
  </si>
  <si>
    <t>000 1 07 00000 00 0000 000</t>
  </si>
  <si>
    <t>000 1 08 00000 00 0000 000</t>
  </si>
  <si>
    <t>Другие вопросы в области национальной безопасности и правоохранительной деятельности</t>
  </si>
  <si>
    <t>Наименование разделов и подразделов</t>
  </si>
  <si>
    <t>тыс. рублей</t>
  </si>
  <si>
    <t>Акцизы по подакцизным товарам (продукции), производимым на территории Российской Федерации</t>
  </si>
  <si>
    <t>0412</t>
  </si>
  <si>
    <t>Налоги на имущество</t>
  </si>
  <si>
    <t>Иные межбюджетные трансферты</t>
  </si>
  <si>
    <t>НАЛОГОВЫЕ  И  НЕНАЛОГОВЫЕ   ДОХОДЫ</t>
  </si>
  <si>
    <t>0111</t>
  </si>
  <si>
    <t>0314</t>
  </si>
  <si>
    <t>0409</t>
  </si>
  <si>
    <t>0505</t>
  </si>
  <si>
    <t>0603</t>
  </si>
  <si>
    <t>Охрана объектов растительного и животного мира и среды их обитания</t>
  </si>
  <si>
    <t>Профессиональная подготовка, переподготовка и повышение квалификации</t>
  </si>
  <si>
    <t>Стационарная медицинская помощь</t>
  </si>
  <si>
    <t>Амбулаторная помощь</t>
  </si>
  <si>
    <t>0906</t>
  </si>
  <si>
    <t>Заготовка, переработка, хранение и обеспечение безопасности донорской крови и ее компонентов</t>
  </si>
  <si>
    <t>Охрана семьи и детства</t>
  </si>
  <si>
    <t>1105</t>
  </si>
  <si>
    <t>Код бюджетной         классификации</t>
  </si>
  <si>
    <t>Раздел 2. РАСХОДЫ</t>
  </si>
  <si>
    <t>Субвенции бюджетам субъектов Российской Федерации и муниципальных образований</t>
  </si>
  <si>
    <t>БЕЗВОЗМЕЗДНЫЕ   ПОСТУПЛЕНИЯ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</si>
  <si>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</si>
  <si>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</si>
  <si>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</si>
  <si>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</si>
  <si>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</si>
  <si>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</si>
  <si>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</si>
  <si>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</si>
  <si>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</si>
  <si>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</si>
  <si>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</si>
  <si>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</si>
  <si>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</si>
  <si>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ИТОГО   ДОХОДОВ</t>
  </si>
  <si>
    <t>Налог, взимаемый в связи с применением упрощенной системы налогообложения</t>
  </si>
  <si>
    <t>Обеспечение пожарной безопасности</t>
  </si>
  <si>
    <t>0605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</si>
  <si>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</si>
  <si>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</si>
  <si>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</si>
  <si>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</si>
  <si>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</si>
  <si>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</si>
  <si>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</si>
  <si>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</si>
  <si>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</si>
  <si>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</si>
  <si>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</si>
  <si>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</si>
  <si>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</si>
  <si>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Среднее профессиональное образование</t>
  </si>
  <si>
    <t>Молодежная политика и оздоровление детей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</si>
  <si>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</si>
  <si>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</si>
  <si>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</si>
  <si>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</si>
  <si>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</si>
  <si>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</si>
  <si>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</si>
  <si>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</si>
  <si>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</si>
  <si>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</si>
  <si>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0701</t>
  </si>
  <si>
    <t>0909</t>
  </si>
  <si>
    <t>1006</t>
  </si>
  <si>
    <t>1200</t>
  </si>
  <si>
    <t>1201</t>
  </si>
  <si>
    <t>1202</t>
  </si>
  <si>
    <t>1300</t>
  </si>
  <si>
    <t>1301</t>
  </si>
  <si>
    <t>1400</t>
  </si>
  <si>
    <t>1401</t>
  </si>
  <si>
    <t>1402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</si>
  <si>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</si>
  <si>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</si>
  <si>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0410</t>
  </si>
  <si>
    <t>Связь и информатика</t>
  </si>
  <si>
    <t>1403</t>
  </si>
  <si>
    <t>Прочие межбюджетные трансферты общего характера</t>
  </si>
  <si>
    <t>0200</t>
  </si>
  <si>
    <t>0203</t>
  </si>
  <si>
    <t>Налог на игорный бизнес</t>
  </si>
  <si>
    <t>000 1 06 05000 02 0000 110</t>
  </si>
  <si>
    <t>0304</t>
  </si>
  <si>
    <t>Органы юстиции</t>
  </si>
  <si>
    <t>Субсидии бюджетам бюджетной системы Российской Федерации (межбюджетные субсидии)</t>
  </si>
  <si>
    <t>Социальное обеспечение населения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</si>
  <si>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</si>
  <si>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</si>
  <si>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</si>
  <si>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Воспроизводство минерально-сырьевой базы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</si>
  <si>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</si>
  <si>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</si>
  <si>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</si>
  <si>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</si>
  <si>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</si>
  <si>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</si>
  <si>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</si>
  <si>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</si>
  <si>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</si>
  <si>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</si>
  <si>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Всего</t>
  </si>
  <si>
    <t>Дефицит (-)</t>
  </si>
  <si>
    <t>000 1 05 01000 00 0000 110</t>
  </si>
  <si>
    <t>000 2 19 00000 00 0000 000</t>
  </si>
  <si>
    <t>000 2 18 00000 00 0000 000</t>
  </si>
  <si>
    <t>Благоустройство</t>
  </si>
  <si>
    <t>Дополнительное образование</t>
  </si>
  <si>
    <t>0503</t>
  </si>
  <si>
    <t>0703</t>
  </si>
  <si>
    <t>000 2 02 20000 00 0000 151</t>
  </si>
  <si>
    <t>000 2 02 30000 00 0000 151</t>
  </si>
  <si>
    <t>000 2 02 40000 00 0000 151</t>
  </si>
  <si>
    <t>0604</t>
  </si>
  <si>
    <t xml:space="preserve">  Прикладные научные исследования в области охраны окружающей среды</t>
  </si>
  <si>
    <t>Скорая медицинская помощь</t>
  </si>
  <si>
    <t>0904</t>
  </si>
  <si>
    <t xml:space="preserve"> 000 2 02 15009 00 0000 151</t>
  </si>
  <si>
    <t xml:space="preserve"> 000 2 02 15002 02 0000 151</t>
  </si>
  <si>
    <t>0311</t>
  </si>
  <si>
    <t>Миграционная политика</t>
  </si>
  <si>
    <t>Ожидаемое исполнение                                       за 2018 год</t>
  </si>
  <si>
    <t>Утвержденный бюджет                                    на 2018 год</t>
  </si>
  <si>
    <t>Уточненный бюджет                         на 2018  год                   (по сост. 01.10.18)</t>
  </si>
  <si>
    <t>Дотации бюджетам субъектов Российской Федерации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</si>
  <si>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Дотации бюджетам субъектов Российской Федерации в целях стимулирования роста налогового потенциала по налогу на прибыль организаций</t>
  </si>
  <si>
    <t>Исполнение                                       на 01.10.2018</t>
  </si>
  <si>
    <t>Уточненный план на 2018  (с учетом проета закона на сессию  ГС 25.10.2018)</t>
  </si>
  <si>
    <t>000 202 15001 02 0000 151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</si>
  <si>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</si>
  <si>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</t>
  </si>
  <si>
    <t>Дотации бюджетам субъектов Российской Федерации на выравнивание бюджетной обеспеченности</t>
  </si>
  <si>
    <t>000 202 10000 00 0000 151</t>
  </si>
  <si>
    <t>Дотации бюджетам бюджетной системы Российской Федерации</t>
  </si>
  <si>
    <t>000 202 15213 02 0000 151</t>
  </si>
  <si>
    <t>Исполнение                                       на 01.01.2018</t>
  </si>
  <si>
    <t xml:space="preserve"> 000 20215549 02 0000 151</t>
  </si>
  <si>
    <t>Дотации бюджетам субъектов Российской Федерации за достижение наивысших темпов роста налогового потенциала</t>
  </si>
  <si>
    <t>Безвозмездные поступления от государственных (муниципальных) организаций</t>
  </si>
  <si>
    <t xml:space="preserve"> 000 203 00000 00 0000 000</t>
  </si>
  <si>
    <t>Оценка ожидаемого исполнения республиканского бюджета Республики Марий Эл в 2018 году</t>
  </si>
  <si>
    <t>2019 год</t>
  </si>
  <si>
    <t>2020 год</t>
  </si>
  <si>
    <t>2021 год</t>
  </si>
  <si>
    <t>000 202 15311 02 0000 151</t>
  </si>
  <si>
    <t>% ожид. исп.               к бюджету              с учетом поправок                   гр.8 / гр.7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</si>
</sst>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00"/>
    <numFmt numFmtId="171" formatCode="#,##0.000"/>
    <numFmt numFmtId="172" formatCode="#,##0.0000"/>
    <numFmt numFmtId="173" formatCode="#,##0.000000"/>
    <numFmt numFmtId="174" formatCode="#,##0.0000000"/>
    <numFmt numFmtId="175" formatCode="0.0000"/>
    <numFmt numFmtId="176" formatCode="0.00000"/>
    <numFmt numFmtId="177" formatCode="0.000000"/>
    <numFmt numFmtId="178" formatCode="0.000"/>
    <numFmt numFmtId="179" formatCode="#,##0.00000000"/>
  </numFmts>
  <fonts count="74">
    <font>
      <sz val="10"/>
      <name val="MS Sans Serif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63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52"/>
      <name val="Times New Roman"/>
      <family val="1"/>
    </font>
    <font>
      <sz val="11"/>
      <color indexed="60"/>
      <name val="Times New Roman"/>
      <family val="1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69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>
      <alignment horizontal="left"/>
      <protection/>
    </xf>
    <xf numFmtId="0" fontId="25" fillId="0" borderId="0">
      <alignment/>
      <protection/>
    </xf>
    <xf numFmtId="0" fontId="53" fillId="0" borderId="0">
      <alignment horizontal="left"/>
      <protection/>
    </xf>
    <xf numFmtId="0" fontId="25" fillId="0" borderId="0">
      <alignment/>
      <protection/>
    </xf>
    <xf numFmtId="0" fontId="20" fillId="0" borderId="0">
      <alignment/>
      <protection/>
    </xf>
    <xf numFmtId="0" fontId="54" fillId="0" borderId="0">
      <alignment/>
      <protection/>
    </xf>
    <xf numFmtId="0" fontId="20" fillId="0" borderId="0">
      <alignment/>
      <protection/>
    </xf>
    <xf numFmtId="0" fontId="54" fillId="0" borderId="0">
      <alignment/>
      <protection/>
    </xf>
    <xf numFmtId="0" fontId="53" fillId="0" borderId="0">
      <alignment horizontal="left"/>
      <protection/>
    </xf>
    <xf numFmtId="0" fontId="25" fillId="0" borderId="0">
      <alignment/>
      <protection/>
    </xf>
    <xf numFmtId="49" fontId="21" fillId="0" borderId="1">
      <alignment/>
      <protection/>
    </xf>
    <xf numFmtId="4" fontId="21" fillId="0" borderId="2">
      <alignment horizontal="right"/>
      <protection/>
    </xf>
    <xf numFmtId="4" fontId="21" fillId="0" borderId="3">
      <alignment horizontal="right"/>
      <protection/>
    </xf>
    <xf numFmtId="49" fontId="21" fillId="0" borderId="0">
      <alignment horizontal="right"/>
      <protection/>
    </xf>
    <xf numFmtId="0" fontId="21" fillId="0" borderId="1">
      <alignment/>
      <protection/>
    </xf>
    <xf numFmtId="4" fontId="21" fillId="0" borderId="4">
      <alignment horizontal="right"/>
      <protection/>
    </xf>
    <xf numFmtId="49" fontId="21" fillId="0" borderId="5">
      <alignment horizontal="center"/>
      <protection/>
    </xf>
    <xf numFmtId="4" fontId="21" fillId="0" borderId="6">
      <alignment horizontal="right"/>
      <protection/>
    </xf>
    <xf numFmtId="0" fontId="22" fillId="0" borderId="0">
      <alignment horizontal="center"/>
      <protection/>
    </xf>
    <xf numFmtId="0" fontId="22" fillId="0" borderId="1">
      <alignment/>
      <protection/>
    </xf>
    <xf numFmtId="0" fontId="21" fillId="0" borderId="7">
      <alignment horizontal="left" wrapText="1"/>
      <protection/>
    </xf>
    <xf numFmtId="0" fontId="21" fillId="0" borderId="8">
      <alignment horizontal="left" wrapText="1" indent="1"/>
      <protection/>
    </xf>
    <xf numFmtId="0" fontId="21" fillId="0" borderId="7">
      <alignment horizontal="left" wrapText="1" indent="2"/>
      <protection/>
    </xf>
    <xf numFmtId="0" fontId="21" fillId="0" borderId="9">
      <alignment horizontal="left" wrapText="1" indent="2"/>
      <protection/>
    </xf>
    <xf numFmtId="0" fontId="21" fillId="0" borderId="0">
      <alignment horizontal="center" wrapText="1"/>
      <protection/>
    </xf>
    <xf numFmtId="49" fontId="21" fillId="0" borderId="1">
      <alignment horizontal="left"/>
      <protection/>
    </xf>
    <xf numFmtId="49" fontId="21" fillId="0" borderId="10">
      <alignment horizontal="center" wrapText="1"/>
      <protection/>
    </xf>
    <xf numFmtId="49" fontId="21" fillId="0" borderId="10">
      <alignment horizontal="left" wrapText="1"/>
      <protection/>
    </xf>
    <xf numFmtId="49" fontId="21" fillId="0" borderId="10">
      <alignment horizontal="center" shrinkToFit="1"/>
      <protection/>
    </xf>
    <xf numFmtId="49" fontId="21" fillId="0" borderId="1">
      <alignment horizontal="center"/>
      <protection/>
    </xf>
    <xf numFmtId="0" fontId="21" fillId="0" borderId="11">
      <alignment horizontal="center"/>
      <protection/>
    </xf>
    <xf numFmtId="0" fontId="21" fillId="0" borderId="0">
      <alignment horizontal="center"/>
      <protection/>
    </xf>
    <xf numFmtId="49" fontId="21" fillId="0" borderId="1">
      <alignment/>
      <protection/>
    </xf>
    <xf numFmtId="49" fontId="21" fillId="0" borderId="2">
      <alignment horizontal="center" shrinkToFit="1"/>
      <protection/>
    </xf>
    <xf numFmtId="0" fontId="21" fillId="0" borderId="1">
      <alignment horizontal="center"/>
      <protection/>
    </xf>
    <xf numFmtId="49" fontId="21" fillId="0" borderId="11">
      <alignment horizontal="center"/>
      <protection/>
    </xf>
    <xf numFmtId="49" fontId="21" fillId="0" borderId="0">
      <alignment horizontal="left"/>
      <protection/>
    </xf>
    <xf numFmtId="49" fontId="21" fillId="0" borderId="4">
      <alignment horizontal="center"/>
      <protection/>
    </xf>
    <xf numFmtId="0" fontId="22" fillId="0" borderId="12">
      <alignment horizontal="center" vertical="center" textRotation="90" wrapText="1"/>
      <protection/>
    </xf>
    <xf numFmtId="0" fontId="22" fillId="0" borderId="11">
      <alignment horizontal="center" vertical="center" textRotation="90" wrapText="1"/>
      <protection/>
    </xf>
    <xf numFmtId="0" fontId="21" fillId="0" borderId="0">
      <alignment vertical="center"/>
      <protection/>
    </xf>
    <xf numFmtId="0" fontId="22" fillId="0" borderId="12">
      <alignment horizontal="center" vertical="center" textRotation="90"/>
      <protection/>
    </xf>
    <xf numFmtId="49" fontId="21" fillId="0" borderId="13">
      <alignment horizontal="center" vertical="center" wrapText="1"/>
      <protection/>
    </xf>
    <xf numFmtId="0" fontId="22" fillId="0" borderId="14">
      <alignment/>
      <protection/>
    </xf>
    <xf numFmtId="49" fontId="23" fillId="0" borderId="15">
      <alignment horizontal="left" vertical="center" wrapText="1"/>
      <protection/>
    </xf>
    <xf numFmtId="49" fontId="21" fillId="0" borderId="16">
      <alignment horizontal="left" vertical="center" wrapText="1" indent="2"/>
      <protection/>
    </xf>
    <xf numFmtId="49" fontId="21" fillId="0" borderId="9">
      <alignment horizontal="left" vertical="center" wrapText="1" indent="3"/>
      <protection/>
    </xf>
    <xf numFmtId="49" fontId="21" fillId="0" borderId="15">
      <alignment horizontal="left" vertical="center" wrapText="1" indent="3"/>
      <protection/>
    </xf>
    <xf numFmtId="49" fontId="21" fillId="0" borderId="17">
      <alignment horizontal="left" vertical="center" wrapText="1" indent="3"/>
      <protection/>
    </xf>
    <xf numFmtId="0" fontId="23" fillId="0" borderId="14">
      <alignment horizontal="left" vertical="center" wrapText="1"/>
      <protection/>
    </xf>
    <xf numFmtId="49" fontId="21" fillId="0" borderId="11">
      <alignment horizontal="left" vertical="center" wrapText="1" indent="3"/>
      <protection/>
    </xf>
    <xf numFmtId="49" fontId="21" fillId="0" borderId="0">
      <alignment horizontal="left" vertical="center" wrapText="1" indent="3"/>
      <protection/>
    </xf>
    <xf numFmtId="49" fontId="21" fillId="0" borderId="1">
      <alignment horizontal="left" vertical="center" wrapText="1" indent="3"/>
      <protection/>
    </xf>
    <xf numFmtId="49" fontId="23" fillId="0" borderId="14">
      <alignment horizontal="left" vertical="center" wrapText="1"/>
      <protection/>
    </xf>
    <xf numFmtId="49" fontId="21" fillId="0" borderId="18">
      <alignment horizontal="center" vertical="center" wrapText="1"/>
      <protection/>
    </xf>
    <xf numFmtId="49" fontId="22" fillId="0" borderId="19">
      <alignment horizontal="center"/>
      <protection/>
    </xf>
    <xf numFmtId="49" fontId="22" fillId="0" borderId="20">
      <alignment horizontal="center" vertical="center" wrapText="1"/>
      <protection/>
    </xf>
    <xf numFmtId="49" fontId="21" fillId="0" borderId="21">
      <alignment horizontal="center" vertical="center" wrapText="1"/>
      <protection/>
    </xf>
    <xf numFmtId="49" fontId="21" fillId="0" borderId="10">
      <alignment horizontal="center" vertical="center" wrapText="1"/>
      <protection/>
    </xf>
    <xf numFmtId="49" fontId="21" fillId="0" borderId="20">
      <alignment horizontal="center" vertical="center" wrapText="1"/>
      <protection/>
    </xf>
    <xf numFmtId="49" fontId="21" fillId="0" borderId="22">
      <alignment horizontal="center" vertical="center" wrapText="1"/>
      <protection/>
    </xf>
    <xf numFmtId="49" fontId="21" fillId="0" borderId="23">
      <alignment horizontal="center" vertical="center" wrapText="1"/>
      <protection/>
    </xf>
    <xf numFmtId="49" fontId="21" fillId="0" borderId="0">
      <alignment horizontal="center" vertical="center" wrapText="1"/>
      <protection/>
    </xf>
    <xf numFmtId="49" fontId="21" fillId="0" borderId="1">
      <alignment horizontal="center" vertical="center" wrapText="1"/>
      <protection/>
    </xf>
    <xf numFmtId="49" fontId="22" fillId="0" borderId="19">
      <alignment horizontal="center" vertical="center" wrapText="1"/>
      <protection/>
    </xf>
    <xf numFmtId="0" fontId="21" fillId="0" borderId="13">
      <alignment horizontal="center" vertical="top"/>
      <protection/>
    </xf>
    <xf numFmtId="49" fontId="21" fillId="0" borderId="13">
      <alignment horizontal="center" vertical="top" wrapText="1"/>
      <protection/>
    </xf>
    <xf numFmtId="4" fontId="21" fillId="0" borderId="24">
      <alignment horizontal="right"/>
      <protection/>
    </xf>
    <xf numFmtId="0" fontId="21" fillId="0" borderId="25">
      <alignment/>
      <protection/>
    </xf>
    <xf numFmtId="4" fontId="21" fillId="0" borderId="18">
      <alignment horizontal="right"/>
      <protection/>
    </xf>
    <xf numFmtId="4" fontId="21" fillId="0" borderId="23">
      <alignment horizontal="right" shrinkToFit="1"/>
      <protection/>
    </xf>
    <xf numFmtId="4" fontId="21" fillId="0" borderId="0">
      <alignment horizontal="right" shrinkToFit="1"/>
      <protection/>
    </xf>
    <xf numFmtId="0" fontId="22" fillId="0" borderId="13">
      <alignment horizontal="center" vertical="top"/>
      <protection/>
    </xf>
    <xf numFmtId="0" fontId="21" fillId="0" borderId="13">
      <alignment horizontal="center" vertical="top" wrapText="1"/>
      <protection/>
    </xf>
    <xf numFmtId="0" fontId="21" fillId="0" borderId="13">
      <alignment horizontal="center" vertical="top"/>
      <protection/>
    </xf>
    <xf numFmtId="4" fontId="21" fillId="0" borderId="26">
      <alignment horizontal="right"/>
      <protection/>
    </xf>
    <xf numFmtId="0" fontId="21" fillId="0" borderId="27">
      <alignment/>
      <protection/>
    </xf>
    <xf numFmtId="4" fontId="21" fillId="0" borderId="28">
      <alignment horizontal="right"/>
      <protection/>
    </xf>
    <xf numFmtId="0" fontId="21" fillId="0" borderId="1">
      <alignment horizontal="right"/>
      <protection/>
    </xf>
    <xf numFmtId="0" fontId="22" fillId="0" borderId="13">
      <alignment horizontal="center" vertical="top"/>
      <protection/>
    </xf>
    <xf numFmtId="0" fontId="20" fillId="20" borderId="0">
      <alignment/>
      <protection/>
    </xf>
    <xf numFmtId="0" fontId="54" fillId="20" borderId="0">
      <alignment/>
      <protection/>
    </xf>
    <xf numFmtId="0" fontId="22" fillId="0" borderId="0">
      <alignment/>
      <protection/>
    </xf>
    <xf numFmtId="0" fontId="54" fillId="0" borderId="0">
      <alignment wrapText="1"/>
      <protection/>
    </xf>
    <xf numFmtId="0" fontId="24" fillId="0" borderId="0">
      <alignment/>
      <protection/>
    </xf>
    <xf numFmtId="0" fontId="54" fillId="0" borderId="0">
      <alignment/>
      <protection/>
    </xf>
    <xf numFmtId="0" fontId="21" fillId="0" borderId="0">
      <alignment horizontal="left"/>
      <protection/>
    </xf>
    <xf numFmtId="0" fontId="55" fillId="0" borderId="0">
      <alignment horizontal="center" wrapText="1"/>
      <protection/>
    </xf>
    <xf numFmtId="0" fontId="21" fillId="0" borderId="0">
      <alignment/>
      <protection/>
    </xf>
    <xf numFmtId="0" fontId="55" fillId="0" borderId="0">
      <alignment horizontal="center"/>
      <protection/>
    </xf>
    <xf numFmtId="0" fontId="25" fillId="0" borderId="0">
      <alignment/>
      <protection/>
    </xf>
    <xf numFmtId="0" fontId="54" fillId="0" borderId="0">
      <alignment horizontal="right"/>
      <protection/>
    </xf>
    <xf numFmtId="0" fontId="20" fillId="20" borderId="1">
      <alignment/>
      <protection/>
    </xf>
    <xf numFmtId="0" fontId="54" fillId="20" borderId="1">
      <alignment/>
      <protection/>
    </xf>
    <xf numFmtId="0" fontId="21" fillId="0" borderId="12">
      <alignment horizontal="center" vertical="top" wrapText="1"/>
      <protection/>
    </xf>
    <xf numFmtId="0" fontId="54" fillId="0" borderId="13">
      <alignment horizontal="center" vertical="center" wrapText="1"/>
      <protection/>
    </xf>
    <xf numFmtId="0" fontId="21" fillId="0" borderId="12">
      <alignment horizontal="center" vertical="center"/>
      <protection/>
    </xf>
    <xf numFmtId="0" fontId="54" fillId="20" borderId="29">
      <alignment/>
      <protection/>
    </xf>
    <xf numFmtId="0" fontId="20" fillId="20" borderId="29">
      <alignment/>
      <protection/>
    </xf>
    <xf numFmtId="49" fontId="54" fillId="0" borderId="13">
      <alignment horizontal="left" vertical="top" wrapText="1" indent="2"/>
      <protection/>
    </xf>
    <xf numFmtId="0" fontId="21" fillId="0" borderId="30">
      <alignment horizontal="left" wrapText="1"/>
      <protection/>
    </xf>
    <xf numFmtId="49" fontId="54" fillId="0" borderId="13">
      <alignment horizontal="center" vertical="top" shrinkToFit="1"/>
      <protection/>
    </xf>
    <xf numFmtId="0" fontId="21" fillId="0" borderId="7">
      <alignment horizontal="left" wrapText="1" indent="1"/>
      <protection/>
    </xf>
    <xf numFmtId="4" fontId="54" fillId="0" borderId="13">
      <alignment horizontal="right" vertical="top" shrinkToFit="1"/>
      <protection/>
    </xf>
    <xf numFmtId="0" fontId="21" fillId="0" borderId="14">
      <alignment horizontal="left" wrapText="1" indent="2"/>
      <protection/>
    </xf>
    <xf numFmtId="10" fontId="54" fillId="0" borderId="13">
      <alignment horizontal="right" vertical="top" shrinkToFit="1"/>
      <protection/>
    </xf>
    <xf numFmtId="0" fontId="20" fillId="20" borderId="31">
      <alignment/>
      <protection/>
    </xf>
    <xf numFmtId="0" fontId="54" fillId="20" borderId="29">
      <alignment shrinkToFit="1"/>
      <protection/>
    </xf>
    <xf numFmtId="0" fontId="26" fillId="0" borderId="0">
      <alignment horizontal="center" wrapText="1"/>
      <protection/>
    </xf>
    <xf numFmtId="0" fontId="56" fillId="0" borderId="13">
      <alignment horizontal="left"/>
      <protection/>
    </xf>
    <xf numFmtId="0" fontId="27" fillId="0" borderId="0">
      <alignment horizontal="center" vertical="top"/>
      <protection/>
    </xf>
    <xf numFmtId="4" fontId="56" fillId="21" borderId="13">
      <alignment horizontal="right" vertical="top" shrinkToFit="1"/>
      <protection/>
    </xf>
    <xf numFmtId="0" fontId="21" fillId="0" borderId="1">
      <alignment wrapText="1"/>
      <protection/>
    </xf>
    <xf numFmtId="10" fontId="56" fillId="21" borderId="13">
      <alignment horizontal="right" vertical="top" shrinkToFit="1"/>
      <protection/>
    </xf>
    <xf numFmtId="0" fontId="21" fillId="0" borderId="29">
      <alignment wrapText="1"/>
      <protection/>
    </xf>
    <xf numFmtId="0" fontId="54" fillId="20" borderId="11">
      <alignment/>
      <protection/>
    </xf>
    <xf numFmtId="0" fontId="21" fillId="0" borderId="11">
      <alignment horizontal="left"/>
      <protection/>
    </xf>
    <xf numFmtId="0" fontId="54" fillId="0" borderId="0">
      <alignment horizontal="left" wrapText="1"/>
      <protection/>
    </xf>
    <xf numFmtId="0" fontId="21" fillId="0" borderId="13">
      <alignment horizontal="center" vertical="top" wrapText="1"/>
      <protection/>
    </xf>
    <xf numFmtId="0" fontId="56" fillId="0" borderId="13">
      <alignment vertical="top" wrapText="1"/>
      <protection/>
    </xf>
    <xf numFmtId="0" fontId="21" fillId="0" borderId="18">
      <alignment horizontal="center" vertical="center"/>
      <protection/>
    </xf>
    <xf numFmtId="4" fontId="56" fillId="22" borderId="13">
      <alignment horizontal="right" vertical="top" shrinkToFit="1"/>
      <protection/>
    </xf>
    <xf numFmtId="0" fontId="20" fillId="20" borderId="32">
      <alignment/>
      <protection/>
    </xf>
    <xf numFmtId="10" fontId="56" fillId="22" borderId="13">
      <alignment horizontal="right" vertical="top" shrinkToFit="1"/>
      <protection/>
    </xf>
    <xf numFmtId="49" fontId="21" fillId="0" borderId="19">
      <alignment horizontal="center" wrapText="1"/>
      <protection/>
    </xf>
    <xf numFmtId="0" fontId="54" fillId="20" borderId="29">
      <alignment horizontal="center"/>
      <protection/>
    </xf>
    <xf numFmtId="49" fontId="21" fillId="0" borderId="21">
      <alignment horizontal="center" wrapText="1"/>
      <protection/>
    </xf>
    <xf numFmtId="0" fontId="54" fillId="20" borderId="29">
      <alignment horizontal="left"/>
      <protection/>
    </xf>
    <xf numFmtId="49" fontId="21" fillId="0" borderId="20">
      <alignment horizontal="center"/>
      <protection/>
    </xf>
    <xf numFmtId="0" fontId="54" fillId="20" borderId="11">
      <alignment horizontal="center"/>
      <protection/>
    </xf>
    <xf numFmtId="0" fontId="20" fillId="20" borderId="11">
      <alignment/>
      <protection/>
    </xf>
    <xf numFmtId="0" fontId="54" fillId="20" borderId="11">
      <alignment horizontal="left"/>
      <protection/>
    </xf>
    <xf numFmtId="0" fontId="20" fillId="20" borderId="33">
      <alignment/>
      <protection/>
    </xf>
    <xf numFmtId="0" fontId="21" fillId="0" borderId="23">
      <alignment/>
      <protection/>
    </xf>
    <xf numFmtId="0" fontId="21" fillId="0" borderId="0">
      <alignment horizontal="center"/>
      <protection/>
    </xf>
    <xf numFmtId="49" fontId="21" fillId="0" borderId="11">
      <alignment/>
      <protection/>
    </xf>
    <xf numFmtId="49" fontId="21" fillId="0" borderId="0">
      <alignment/>
      <protection/>
    </xf>
    <xf numFmtId="0" fontId="21" fillId="0" borderId="13">
      <alignment horizontal="center" vertical="center"/>
      <protection/>
    </xf>
    <xf numFmtId="0" fontId="20" fillId="20" borderId="34">
      <alignment/>
      <protection/>
    </xf>
    <xf numFmtId="49" fontId="21" fillId="0" borderId="24">
      <alignment horizontal="center"/>
      <protection/>
    </xf>
    <xf numFmtId="49" fontId="21" fillId="0" borderId="25">
      <alignment horizontal="center"/>
      <protection/>
    </xf>
    <xf numFmtId="49" fontId="21" fillId="0" borderId="13">
      <alignment horizontal="center"/>
      <protection/>
    </xf>
    <xf numFmtId="49" fontId="21" fillId="0" borderId="13">
      <alignment horizontal="center" vertical="top" wrapText="1"/>
      <protection/>
    </xf>
    <xf numFmtId="49" fontId="21" fillId="0" borderId="13">
      <alignment horizontal="center" vertical="top" wrapText="1"/>
      <protection/>
    </xf>
    <xf numFmtId="0" fontId="20" fillId="20" borderId="35">
      <alignment/>
      <protection/>
    </xf>
    <xf numFmtId="4" fontId="21" fillId="0" borderId="13">
      <alignment horizontal="right"/>
      <protection/>
    </xf>
    <xf numFmtId="0" fontId="21" fillId="23" borderId="23">
      <alignment/>
      <protection/>
    </xf>
    <xf numFmtId="49" fontId="21" fillId="0" borderId="36">
      <alignment horizontal="center" vertical="top"/>
      <protection/>
    </xf>
    <xf numFmtId="49" fontId="20" fillId="0" borderId="0">
      <alignment/>
      <protection/>
    </xf>
    <xf numFmtId="0" fontId="21" fillId="0" borderId="0">
      <alignment horizontal="right"/>
      <protection/>
    </xf>
    <xf numFmtId="49" fontId="21" fillId="0" borderId="0">
      <alignment horizontal="right"/>
      <protection/>
    </xf>
    <xf numFmtId="0" fontId="28" fillId="0" borderId="0">
      <alignment/>
      <protection/>
    </xf>
    <xf numFmtId="0" fontId="28" fillId="0" borderId="37">
      <alignment/>
      <protection/>
    </xf>
    <xf numFmtId="49" fontId="29" fillId="0" borderId="38">
      <alignment horizontal="right"/>
      <protection/>
    </xf>
    <xf numFmtId="0" fontId="21" fillId="0" borderId="38">
      <alignment horizontal="right"/>
      <protection/>
    </xf>
    <xf numFmtId="0" fontId="28" fillId="0" borderId="1">
      <alignment/>
      <protection/>
    </xf>
    <xf numFmtId="0" fontId="21" fillId="0" borderId="18">
      <alignment horizontal="center"/>
      <protection/>
    </xf>
    <xf numFmtId="49" fontId="20" fillId="0" borderId="39">
      <alignment horizontal="center"/>
      <protection/>
    </xf>
    <xf numFmtId="14" fontId="21" fillId="0" borderId="40">
      <alignment horizontal="center"/>
      <protection/>
    </xf>
    <xf numFmtId="0" fontId="21" fillId="0" borderId="41">
      <alignment horizontal="center"/>
      <protection/>
    </xf>
    <xf numFmtId="49" fontId="21" fillId="0" borderId="42">
      <alignment horizontal="center"/>
      <protection/>
    </xf>
    <xf numFmtId="49" fontId="21" fillId="0" borderId="40">
      <alignment horizontal="center"/>
      <protection/>
    </xf>
    <xf numFmtId="0" fontId="21" fillId="0" borderId="40">
      <alignment horizontal="center"/>
      <protection/>
    </xf>
    <xf numFmtId="49" fontId="21" fillId="0" borderId="43">
      <alignment horizontal="center"/>
      <protection/>
    </xf>
    <xf numFmtId="0" fontId="25" fillId="0" borderId="23">
      <alignment/>
      <protection/>
    </xf>
    <xf numFmtId="49" fontId="21" fillId="0" borderId="36">
      <alignment horizontal="center" vertical="top" wrapText="1"/>
      <protection/>
    </xf>
    <xf numFmtId="0" fontId="21" fillId="0" borderId="44">
      <alignment horizontal="center" vertical="center"/>
      <protection/>
    </xf>
    <xf numFmtId="4" fontId="21" fillId="0" borderId="5">
      <alignment horizontal="right"/>
      <protection/>
    </xf>
    <xf numFmtId="49" fontId="21" fillId="0" borderId="27">
      <alignment horizontal="center"/>
      <protection/>
    </xf>
    <xf numFmtId="0" fontId="21" fillId="0" borderId="0">
      <alignment horizontal="left" wrapText="1"/>
      <protection/>
    </xf>
    <xf numFmtId="0" fontId="21" fillId="0" borderId="1">
      <alignment horizontal="left"/>
      <protection/>
    </xf>
    <xf numFmtId="0" fontId="21" fillId="0" borderId="8">
      <alignment horizontal="left" wrapText="1"/>
      <protection/>
    </xf>
    <xf numFmtId="0" fontId="21" fillId="0" borderId="29">
      <alignment/>
      <protection/>
    </xf>
    <xf numFmtId="0" fontId="22" fillId="0" borderId="45">
      <alignment horizontal="left" wrapText="1"/>
      <protection/>
    </xf>
    <xf numFmtId="0" fontId="21" fillId="0" borderId="4">
      <alignment horizontal="left" wrapText="1" indent="2"/>
      <protection/>
    </xf>
    <xf numFmtId="49" fontId="21" fillId="0" borderId="0">
      <alignment horizontal="center" wrapText="1"/>
      <protection/>
    </xf>
    <xf numFmtId="49" fontId="21" fillId="0" borderId="20">
      <alignment horizontal="center" wrapText="1"/>
      <protection/>
    </xf>
    <xf numFmtId="0" fontId="21" fillId="0" borderId="32">
      <alignment/>
      <protection/>
    </xf>
    <xf numFmtId="0" fontId="21" fillId="0" borderId="46">
      <alignment horizontal="center" wrapText="1"/>
      <protection/>
    </xf>
    <xf numFmtId="0" fontId="20" fillId="20" borderId="23">
      <alignment/>
      <protection/>
    </xf>
    <xf numFmtId="49" fontId="21" fillId="0" borderId="10">
      <alignment horizontal="center"/>
      <protection/>
    </xf>
    <xf numFmtId="49" fontId="21" fillId="0" borderId="0">
      <alignment horizontal="center"/>
      <protection/>
    </xf>
    <xf numFmtId="49" fontId="21" fillId="0" borderId="2">
      <alignment horizontal="center" wrapText="1"/>
      <protection/>
    </xf>
    <xf numFmtId="49" fontId="21" fillId="0" borderId="3">
      <alignment horizontal="center" wrapText="1"/>
      <protection/>
    </xf>
    <xf numFmtId="49" fontId="21" fillId="0" borderId="2">
      <alignment horizontal="center"/>
      <protection/>
    </xf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7" fillId="30" borderId="47" applyNumberFormat="0" applyAlignment="0" applyProtection="0"/>
    <xf numFmtId="0" fontId="58" fillId="31" borderId="48" applyNumberFormat="0" applyAlignment="0" applyProtection="0"/>
    <xf numFmtId="0" fontId="59" fillId="31" borderId="4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49" applyNumberFormat="0" applyFill="0" applyAlignment="0" applyProtection="0"/>
    <xf numFmtId="0" fontId="61" fillId="0" borderId="50" applyNumberFormat="0" applyFill="0" applyAlignment="0" applyProtection="0"/>
    <xf numFmtId="0" fontId="62" fillId="0" borderId="51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52" applyNumberFormat="0" applyFill="0" applyAlignment="0" applyProtection="0"/>
    <xf numFmtId="0" fontId="64" fillId="32" borderId="53" applyNumberFormat="0" applyAlignment="0" applyProtection="0"/>
    <xf numFmtId="0" fontId="65" fillId="0" borderId="0" applyNumberFormat="0" applyFill="0" applyBorder="0" applyAlignment="0" applyProtection="0"/>
    <xf numFmtId="0" fontId="66" fillId="3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0" fontId="67" fillId="34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21" borderId="54" applyNumberFormat="0" applyFont="0" applyAlignment="0" applyProtection="0"/>
    <xf numFmtId="0" fontId="1" fillId="35" borderId="55" applyNumberFormat="0" applyFont="0" applyAlignment="0" applyProtection="0"/>
    <xf numFmtId="0" fontId="1" fillId="35" borderId="55" applyNumberFormat="0" applyFont="0" applyAlignment="0" applyProtection="0"/>
    <xf numFmtId="0" fontId="1" fillId="35" borderId="55" applyNumberFormat="0" applyFont="0" applyAlignment="0" applyProtection="0"/>
    <xf numFmtId="0" fontId="1" fillId="35" borderId="55" applyNumberFormat="0" applyFont="0" applyAlignment="0" applyProtection="0"/>
    <xf numFmtId="0" fontId="1" fillId="35" borderId="55" applyNumberFormat="0" applyFont="0" applyAlignment="0" applyProtection="0"/>
    <xf numFmtId="0" fontId="1" fillId="35" borderId="55" applyNumberFormat="0" applyFont="0" applyAlignment="0" applyProtection="0"/>
    <xf numFmtId="0" fontId="1" fillId="35" borderId="55" applyNumberFormat="0" applyFont="0" applyAlignment="0" applyProtection="0"/>
    <xf numFmtId="0" fontId="1" fillId="35" borderId="55" applyNumberFormat="0" applyFont="0" applyAlignment="0" applyProtection="0"/>
    <xf numFmtId="9" fontId="0" fillId="0" borderId="0" applyFont="0" applyFill="0" applyBorder="0" applyAlignment="0" applyProtection="0"/>
    <xf numFmtId="0" fontId="69" fillId="0" borderId="56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6" borderId="0" applyNumberFormat="0" applyBorder="0" applyAlignment="0" applyProtection="0"/>
  </cellStyleXfs>
  <cellXfs count="103">
    <xf numFmtId="0" fontId="0" fillId="0" borderId="0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justify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57" xfId="0" applyNumberFormat="1" applyFont="1" applyFill="1" applyBorder="1" applyAlignment="1" applyProtection="1">
      <alignment horizontal="center" vertical="center" wrapText="1"/>
      <protection/>
    </xf>
    <xf numFmtId="0" fontId="2" fillId="0" borderId="58" xfId="0" applyNumberFormat="1" applyFont="1" applyFill="1" applyBorder="1" applyAlignment="1" applyProtection="1">
      <alignment horizontal="center" vertical="center" wrapText="1"/>
      <protection/>
    </xf>
    <xf numFmtId="0" fontId="2" fillId="0" borderId="59" xfId="0" applyNumberFormat="1" applyFont="1" applyFill="1" applyBorder="1" applyAlignment="1" applyProtection="1">
      <alignment horizontal="center" vertical="center"/>
      <protection/>
    </xf>
    <xf numFmtId="0" fontId="5" fillId="0" borderId="58" xfId="0" applyNumberFormat="1" applyFont="1" applyFill="1" applyBorder="1" applyAlignment="1" applyProtection="1">
      <alignment horizontal="center" vertical="center" wrapText="1"/>
      <protection/>
    </xf>
    <xf numFmtId="0" fontId="2" fillId="0" borderId="58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165" fontId="2" fillId="0" borderId="0" xfId="0" applyNumberFormat="1" applyFont="1" applyFill="1" applyBorder="1" applyAlignment="1">
      <alignment vertical="top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>
      <alignment horizontal="justify" vertical="top" wrapText="1" shrinkToFit="1"/>
    </xf>
    <xf numFmtId="0" fontId="2" fillId="0" borderId="0" xfId="0" applyFont="1" applyFill="1" applyBorder="1" applyAlignment="1">
      <alignment horizontal="justify" vertical="top" wrapText="1" shrinkToFit="1"/>
    </xf>
    <xf numFmtId="0" fontId="2" fillId="0" borderId="0" xfId="0" applyFont="1" applyFill="1" applyBorder="1" applyAlignment="1">
      <alignment horizontal="justify" vertical="top" wrapText="1"/>
    </xf>
    <xf numFmtId="49" fontId="7" fillId="0" borderId="0" xfId="0" applyNumberFormat="1" applyFont="1" applyFill="1" applyBorder="1" applyAlignment="1">
      <alignment horizontal="justify" vertical="top" wrapText="1" shrinkToFit="1"/>
    </xf>
    <xf numFmtId="49" fontId="2" fillId="0" borderId="0" xfId="0" applyNumberFormat="1" applyFont="1" applyFill="1" applyBorder="1" applyAlignment="1">
      <alignment horizontal="justify" vertical="top" wrapText="1" shrinkToFit="1"/>
    </xf>
    <xf numFmtId="0" fontId="15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justify" vertical="top"/>
    </xf>
    <xf numFmtId="0" fontId="7" fillId="0" borderId="0" xfId="0" applyFont="1" applyFill="1" applyAlignment="1">
      <alignment horizontal="justify" vertical="top"/>
    </xf>
    <xf numFmtId="49" fontId="7" fillId="0" borderId="0" xfId="0" applyNumberFormat="1" applyFont="1" applyFill="1" applyBorder="1" applyAlignment="1">
      <alignment horizontal="justify" wrapText="1"/>
    </xf>
    <xf numFmtId="49" fontId="14" fillId="0" borderId="0" xfId="0" applyNumberFormat="1" applyFont="1" applyFill="1" applyBorder="1" applyAlignment="1">
      <alignment horizontal="justify" wrapText="1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 vertical="top"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49" fontId="7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 shrinkToFit="1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Border="1" applyAlignment="1">
      <alignment horizontal="center" wrapText="1"/>
    </xf>
    <xf numFmtId="49" fontId="13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top"/>
    </xf>
    <xf numFmtId="0" fontId="18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0" fontId="1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165" fontId="3" fillId="0" borderId="0" xfId="0" applyNumberFormat="1" applyFont="1" applyFill="1" applyAlignment="1">
      <alignment vertical="top"/>
    </xf>
    <xf numFmtId="0" fontId="10" fillId="0" borderId="0" xfId="0" applyFont="1" applyFill="1" applyBorder="1" applyAlignment="1">
      <alignment vertical="top"/>
    </xf>
    <xf numFmtId="165" fontId="7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65" fontId="11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65" fontId="2" fillId="0" borderId="0" xfId="0" applyNumberFormat="1" applyFont="1" applyFill="1" applyAlignment="1">
      <alignment vertical="top"/>
    </xf>
    <xf numFmtId="165" fontId="2" fillId="0" borderId="58" xfId="0" applyNumberFormat="1" applyFont="1" applyFill="1" applyBorder="1" applyAlignment="1" applyProtection="1">
      <alignment horizontal="center" vertical="center" wrapText="1"/>
      <protection/>
    </xf>
    <xf numFmtId="0" fontId="2" fillId="0" borderId="58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/>
    </xf>
    <xf numFmtId="165" fontId="2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Alignment="1">
      <alignment vertical="top"/>
    </xf>
    <xf numFmtId="165" fontId="17" fillId="0" borderId="0" xfId="0" applyNumberFormat="1" applyFont="1" applyFill="1" applyAlignment="1">
      <alignment vertical="top"/>
    </xf>
    <xf numFmtId="165" fontId="7" fillId="0" borderId="0" xfId="0" applyNumberFormat="1" applyFont="1" applyFill="1" applyBorder="1" applyAlignment="1">
      <alignment horizontal="right"/>
    </xf>
    <xf numFmtId="165" fontId="1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 vertical="top"/>
    </xf>
    <xf numFmtId="165" fontId="21" fillId="0" borderId="0" xfId="44" applyNumberFormat="1" applyFont="1" applyFill="1" applyBorder="1" applyProtection="1">
      <alignment horizontal="right"/>
      <protection/>
    </xf>
    <xf numFmtId="0" fontId="3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165" fontId="2" fillId="0" borderId="0" xfId="0" applyNumberFormat="1" applyFont="1" applyFill="1" applyBorder="1" applyAlignment="1" applyProtection="1">
      <alignment vertical="top"/>
      <protection/>
    </xf>
    <xf numFmtId="0" fontId="2" fillId="0" borderId="5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170" fontId="18" fillId="0" borderId="0" xfId="0" applyNumberFormat="1" applyFont="1" applyFill="1" applyBorder="1" applyAlignment="1">
      <alignment vertical="top"/>
    </xf>
    <xf numFmtId="170" fontId="18" fillId="0" borderId="0" xfId="0" applyNumberFormat="1" applyFont="1" applyFill="1" applyAlignment="1">
      <alignment vertical="top"/>
    </xf>
    <xf numFmtId="165" fontId="72" fillId="0" borderId="0" xfId="0" applyNumberFormat="1" applyFont="1" applyFill="1" applyBorder="1" applyAlignment="1">
      <alignment horizontal="right" vertical="top"/>
    </xf>
    <xf numFmtId="165" fontId="7" fillId="0" borderId="0" xfId="0" applyNumberFormat="1" applyFont="1" applyFill="1" applyBorder="1" applyAlignment="1">
      <alignment vertical="top"/>
    </xf>
    <xf numFmtId="165" fontId="2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center" vertical="top" wrapText="1"/>
    </xf>
    <xf numFmtId="165" fontId="7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Alignment="1">
      <alignment horizontal="right" vertical="top"/>
    </xf>
    <xf numFmtId="165" fontId="2" fillId="0" borderId="0" xfId="0" applyNumberFormat="1" applyFont="1" applyFill="1" applyAlignment="1">
      <alignment horizontal="right" vertical="top"/>
    </xf>
    <xf numFmtId="2" fontId="2" fillId="0" borderId="0" xfId="0" applyNumberFormat="1" applyFont="1" applyFill="1" applyBorder="1" applyAlignment="1">
      <alignment horizontal="justify" vertical="top" wrapText="1" shrinkToFit="1"/>
    </xf>
    <xf numFmtId="165" fontId="6" fillId="0" borderId="0" xfId="0" applyNumberFormat="1" applyFont="1" applyFill="1" applyBorder="1" applyAlignment="1">
      <alignment horizontal="center" vertical="top" wrapText="1"/>
    </xf>
    <xf numFmtId="4" fontId="72" fillId="0" borderId="0" xfId="0" applyNumberFormat="1" applyFont="1" applyFill="1" applyBorder="1" applyAlignment="1">
      <alignment horizontal="right" vertical="top"/>
    </xf>
    <xf numFmtId="4" fontId="7" fillId="0" borderId="0" xfId="0" applyNumberFormat="1" applyFont="1" applyFill="1" applyBorder="1" applyAlignment="1">
      <alignment vertical="top"/>
    </xf>
    <xf numFmtId="165" fontId="73" fillId="0" borderId="0" xfId="0" applyNumberFormat="1" applyFont="1" applyFill="1" applyBorder="1" applyAlignment="1">
      <alignment vertical="top"/>
    </xf>
    <xf numFmtId="171" fontId="73" fillId="0" borderId="0" xfId="0" applyNumberFormat="1" applyFont="1" applyFill="1" applyBorder="1" applyAlignment="1">
      <alignment/>
    </xf>
    <xf numFmtId="49" fontId="7" fillId="0" borderId="0" xfId="0" applyNumberFormat="1" applyFont="1" applyFill="1" applyAlignment="1">
      <alignment horizontal="center" vertical="top"/>
    </xf>
    <xf numFmtId="4" fontId="3" fillId="0" borderId="0" xfId="0" applyNumberFormat="1" applyFont="1" applyFill="1" applyAlignment="1">
      <alignment vertical="top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left" vertical="top" wrapText="1"/>
    </xf>
    <xf numFmtId="165" fontId="2" fillId="0" borderId="0" xfId="0" applyNumberFormat="1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justify" vertical="top" wrapText="1"/>
    </xf>
    <xf numFmtId="165" fontId="2" fillId="0" borderId="0" xfId="0" applyNumberFormat="1" applyFont="1" applyFill="1" applyBorder="1" applyAlignment="1" applyProtection="1">
      <alignment horizontal="right" vertical="top"/>
      <protection/>
    </xf>
    <xf numFmtId="165" fontId="7" fillId="0" borderId="0" xfId="0" applyNumberFormat="1" applyFont="1" applyFill="1" applyAlignment="1">
      <alignment horizontal="right" vertical="top"/>
    </xf>
    <xf numFmtId="165" fontId="2" fillId="0" borderId="0" xfId="0" applyNumberFormat="1" applyFont="1" applyFill="1" applyAlignment="1">
      <alignment horizontal="right" vertical="top"/>
    </xf>
    <xf numFmtId="0" fontId="2" fillId="0" borderId="61" xfId="0" applyNumberFormat="1" applyFont="1" applyFill="1" applyBorder="1" applyAlignment="1" applyProtection="1">
      <alignment horizontal="right" vertical="top"/>
      <protection/>
    </xf>
    <xf numFmtId="0" fontId="8" fillId="0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justify" vertical="top" wrapText="1"/>
      <protection/>
    </xf>
    <xf numFmtId="0" fontId="19" fillId="0" borderId="0" xfId="0" applyFont="1" applyFill="1" applyAlignment="1">
      <alignment vertical="top"/>
    </xf>
  </cellXfs>
  <cellStyles count="2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100" xfId="43"/>
    <cellStyle name="xl101" xfId="44"/>
    <cellStyle name="xl102" xfId="45"/>
    <cellStyle name="xl103" xfId="46"/>
    <cellStyle name="xl104" xfId="47"/>
    <cellStyle name="xl105" xfId="48"/>
    <cellStyle name="xl106" xfId="49"/>
    <cellStyle name="xl107" xfId="50"/>
    <cellStyle name="xl108" xfId="51"/>
    <cellStyle name="xl109" xfId="52"/>
    <cellStyle name="xl110" xfId="53"/>
    <cellStyle name="xl111" xfId="54"/>
    <cellStyle name="xl112" xfId="55"/>
    <cellStyle name="xl113" xfId="56"/>
    <cellStyle name="xl114" xfId="57"/>
    <cellStyle name="xl115" xfId="58"/>
    <cellStyle name="xl116" xfId="59"/>
    <cellStyle name="xl117" xfId="60"/>
    <cellStyle name="xl118" xfId="61"/>
    <cellStyle name="xl119" xfId="62"/>
    <cellStyle name="xl120" xfId="63"/>
    <cellStyle name="xl121" xfId="64"/>
    <cellStyle name="xl122" xfId="65"/>
    <cellStyle name="xl123" xfId="66"/>
    <cellStyle name="xl124" xfId="67"/>
    <cellStyle name="xl125" xfId="68"/>
    <cellStyle name="xl126" xfId="69"/>
    <cellStyle name="xl127" xfId="70"/>
    <cellStyle name="xl128" xfId="71"/>
    <cellStyle name="xl129" xfId="72"/>
    <cellStyle name="xl130" xfId="73"/>
    <cellStyle name="xl131" xfId="74"/>
    <cellStyle name="xl132" xfId="75"/>
    <cellStyle name="xl133" xfId="76"/>
    <cellStyle name="xl134" xfId="77"/>
    <cellStyle name="xl135" xfId="78"/>
    <cellStyle name="xl136" xfId="79"/>
    <cellStyle name="xl137" xfId="80"/>
    <cellStyle name="xl138" xfId="81"/>
    <cellStyle name="xl139" xfId="82"/>
    <cellStyle name="xl140" xfId="83"/>
    <cellStyle name="xl141" xfId="84"/>
    <cellStyle name="xl142" xfId="85"/>
    <cellStyle name="xl143" xfId="86"/>
    <cellStyle name="xl144" xfId="87"/>
    <cellStyle name="xl145" xfId="88"/>
    <cellStyle name="xl146" xfId="89"/>
    <cellStyle name="xl147" xfId="90"/>
    <cellStyle name="xl148" xfId="91"/>
    <cellStyle name="xl149" xfId="92"/>
    <cellStyle name="xl150" xfId="93"/>
    <cellStyle name="xl151" xfId="94"/>
    <cellStyle name="xl152" xfId="95"/>
    <cellStyle name="xl153" xfId="96"/>
    <cellStyle name="xl154" xfId="97"/>
    <cellStyle name="xl155" xfId="98"/>
    <cellStyle name="xl156" xfId="99"/>
    <cellStyle name="xl157" xfId="100"/>
    <cellStyle name="xl158" xfId="101"/>
    <cellStyle name="xl159" xfId="102"/>
    <cellStyle name="xl160" xfId="103"/>
    <cellStyle name="xl161" xfId="104"/>
    <cellStyle name="xl162" xfId="105"/>
    <cellStyle name="xl163" xfId="106"/>
    <cellStyle name="xl164" xfId="107"/>
    <cellStyle name="xl165" xfId="108"/>
    <cellStyle name="xl166" xfId="109"/>
    <cellStyle name="xl167" xfId="110"/>
    <cellStyle name="xl168" xfId="111"/>
    <cellStyle name="xl169" xfId="112"/>
    <cellStyle name="xl21" xfId="113"/>
    <cellStyle name="xl21 2" xfId="114"/>
    <cellStyle name="xl22" xfId="115"/>
    <cellStyle name="xl22 2" xfId="116"/>
    <cellStyle name="xl23" xfId="117"/>
    <cellStyle name="xl23 2" xfId="118"/>
    <cellStyle name="xl24" xfId="119"/>
    <cellStyle name="xl24 2" xfId="120"/>
    <cellStyle name="xl25" xfId="121"/>
    <cellStyle name="xl25 2" xfId="122"/>
    <cellStyle name="xl26" xfId="123"/>
    <cellStyle name="xl26 2" xfId="124"/>
    <cellStyle name="xl27" xfId="125"/>
    <cellStyle name="xl27 2" xfId="126"/>
    <cellStyle name="xl28" xfId="127"/>
    <cellStyle name="xl28 2" xfId="128"/>
    <cellStyle name="xl29" xfId="129"/>
    <cellStyle name="xl29 2" xfId="130"/>
    <cellStyle name="xl30" xfId="131"/>
    <cellStyle name="xl30 2" xfId="132"/>
    <cellStyle name="xl31" xfId="133"/>
    <cellStyle name="xl31 2" xfId="134"/>
    <cellStyle name="xl32" xfId="135"/>
    <cellStyle name="xl32 2" xfId="136"/>
    <cellStyle name="xl33" xfId="137"/>
    <cellStyle name="xl33 2" xfId="138"/>
    <cellStyle name="xl34" xfId="139"/>
    <cellStyle name="xl34 2" xfId="140"/>
    <cellStyle name="xl35" xfId="141"/>
    <cellStyle name="xl35 2" xfId="142"/>
    <cellStyle name="xl36" xfId="143"/>
    <cellStyle name="xl36 2" xfId="144"/>
    <cellStyle name="xl37" xfId="145"/>
    <cellStyle name="xl37 2" xfId="146"/>
    <cellStyle name="xl38" xfId="147"/>
    <cellStyle name="xl38 2" xfId="148"/>
    <cellStyle name="xl39" xfId="149"/>
    <cellStyle name="xl39 2" xfId="150"/>
    <cellStyle name="xl40" xfId="151"/>
    <cellStyle name="xl40 2" xfId="152"/>
    <cellStyle name="xl41" xfId="153"/>
    <cellStyle name="xl41 2" xfId="154"/>
    <cellStyle name="xl42" xfId="155"/>
    <cellStyle name="xl42 2" xfId="156"/>
    <cellStyle name="xl43" xfId="157"/>
    <cellStyle name="xl43 2" xfId="158"/>
    <cellStyle name="xl44" xfId="159"/>
    <cellStyle name="xl44 2" xfId="160"/>
    <cellStyle name="xl45" xfId="161"/>
    <cellStyle name="xl45 2" xfId="162"/>
    <cellStyle name="xl46" xfId="163"/>
    <cellStyle name="xl46 2" xfId="164"/>
    <cellStyle name="xl47" xfId="165"/>
    <cellStyle name="xl48" xfId="166"/>
    <cellStyle name="xl49" xfId="167"/>
    <cellStyle name="xl50" xfId="168"/>
    <cellStyle name="xl51" xfId="169"/>
    <cellStyle name="xl52" xfId="170"/>
    <cellStyle name="xl53" xfId="171"/>
    <cellStyle name="xl54" xfId="172"/>
    <cellStyle name="xl55" xfId="173"/>
    <cellStyle name="xl56" xfId="174"/>
    <cellStyle name="xl57" xfId="175"/>
    <cellStyle name="xl58" xfId="176"/>
    <cellStyle name="xl59" xfId="177"/>
    <cellStyle name="xl60" xfId="178"/>
    <cellStyle name="xl61" xfId="179"/>
    <cellStyle name="xl62" xfId="180"/>
    <cellStyle name="xl63" xfId="181"/>
    <cellStyle name="xl64" xfId="182"/>
    <cellStyle name="xl65" xfId="183"/>
    <cellStyle name="xl66" xfId="184"/>
    <cellStyle name="xl67" xfId="185"/>
    <cellStyle name="xl68" xfId="186"/>
    <cellStyle name="xl69" xfId="187"/>
    <cellStyle name="xl70" xfId="188"/>
    <cellStyle name="xl71" xfId="189"/>
    <cellStyle name="xl72" xfId="190"/>
    <cellStyle name="xl73" xfId="191"/>
    <cellStyle name="xl74" xfId="192"/>
    <cellStyle name="xl75" xfId="193"/>
    <cellStyle name="xl76" xfId="194"/>
    <cellStyle name="xl77" xfId="195"/>
    <cellStyle name="xl78" xfId="196"/>
    <cellStyle name="xl79" xfId="197"/>
    <cellStyle name="xl80" xfId="198"/>
    <cellStyle name="xl81" xfId="199"/>
    <cellStyle name="xl82" xfId="200"/>
    <cellStyle name="xl83" xfId="201"/>
    <cellStyle name="xl84" xfId="202"/>
    <cellStyle name="xl85" xfId="203"/>
    <cellStyle name="xl86" xfId="204"/>
    <cellStyle name="xl87" xfId="205"/>
    <cellStyle name="xl88" xfId="206"/>
    <cellStyle name="xl89" xfId="207"/>
    <cellStyle name="xl90" xfId="208"/>
    <cellStyle name="xl91" xfId="209"/>
    <cellStyle name="xl92" xfId="210"/>
    <cellStyle name="xl93" xfId="211"/>
    <cellStyle name="xl94" xfId="212"/>
    <cellStyle name="xl95" xfId="213"/>
    <cellStyle name="xl96" xfId="214"/>
    <cellStyle name="xl97" xfId="215"/>
    <cellStyle name="xl98" xfId="216"/>
    <cellStyle name="xl99" xfId="217"/>
    <cellStyle name="Акцент1" xfId="218"/>
    <cellStyle name="Акцент2" xfId="219"/>
    <cellStyle name="Акцент3" xfId="220"/>
    <cellStyle name="Акцент4" xfId="221"/>
    <cellStyle name="Акцент5" xfId="222"/>
    <cellStyle name="Акцент6" xfId="223"/>
    <cellStyle name="Ввод " xfId="224"/>
    <cellStyle name="Вывод" xfId="225"/>
    <cellStyle name="Вычисление" xfId="226"/>
    <cellStyle name="Currency" xfId="227"/>
    <cellStyle name="Currency [0]" xfId="228"/>
    <cellStyle name="Заголовок 1" xfId="229"/>
    <cellStyle name="Заголовок 2" xfId="230"/>
    <cellStyle name="Заголовок 3" xfId="231"/>
    <cellStyle name="Заголовок 4" xfId="232"/>
    <cellStyle name="Итог" xfId="233"/>
    <cellStyle name="Контрольная ячейка" xfId="234"/>
    <cellStyle name="Название" xfId="235"/>
    <cellStyle name="Нейтральный" xfId="236"/>
    <cellStyle name="Обычный 10" xfId="237"/>
    <cellStyle name="Обычный 2" xfId="238"/>
    <cellStyle name="Обычный 3" xfId="239"/>
    <cellStyle name="Обычный 3 2" xfId="240"/>
    <cellStyle name="Обычный 4" xfId="241"/>
    <cellStyle name="Обычный 4 2" xfId="242"/>
    <cellStyle name="Обычный 5" xfId="243"/>
    <cellStyle name="Обычный 5 2" xfId="244"/>
    <cellStyle name="Обычный 6" xfId="245"/>
    <cellStyle name="Обычный 6 2" xfId="246"/>
    <cellStyle name="Обычный 7" xfId="247"/>
    <cellStyle name="Обычный 7 2" xfId="248"/>
    <cellStyle name="Обычный 8" xfId="249"/>
    <cellStyle name="Обычный 8 2" xfId="250"/>
    <cellStyle name="Обычный 9" xfId="251"/>
    <cellStyle name="Плохой" xfId="252"/>
    <cellStyle name="Пояснение" xfId="253"/>
    <cellStyle name="Примечание" xfId="254"/>
    <cellStyle name="Примечание 2" xfId="255"/>
    <cellStyle name="Примечание 2 2" xfId="256"/>
    <cellStyle name="Примечание 3" xfId="257"/>
    <cellStyle name="Примечание 3 2" xfId="258"/>
    <cellStyle name="Примечание 4" xfId="259"/>
    <cellStyle name="Примечание 4 2" xfId="260"/>
    <cellStyle name="Примечание 5" xfId="261"/>
    <cellStyle name="Примечание 5 2" xfId="262"/>
    <cellStyle name="Percent" xfId="263"/>
    <cellStyle name="Связанная ячейка" xfId="264"/>
    <cellStyle name="Текст предупреждения" xfId="265"/>
    <cellStyle name="Comma" xfId="266"/>
    <cellStyle name="Comma [0]" xfId="267"/>
    <cellStyle name="Хороший" xfId="26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4"/>
  <sheetViews>
    <sheetView tabSelected="1" zoomScalePageLayoutView="0" workbookViewId="0" topLeftCell="A1">
      <pane xSplit="2" ySplit="6" topLeftCell="C4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2" sqref="A42:IV44"/>
    </sheetView>
  </sheetViews>
  <sheetFormatPr defaultColWidth="9.140625" defaultRowHeight="12.75"/>
  <cols>
    <col min="1" max="1" width="23.28125" style="1" customWidth="1"/>
    <col min="2" max="2" width="38.57421875" style="26" customWidth="1"/>
    <col min="3" max="3" width="16.00390625" style="26" customWidth="1"/>
    <col min="4" max="4" width="14.00390625" style="3" customWidth="1"/>
    <col min="5" max="5" width="15.7109375" style="40" customWidth="1"/>
    <col min="6" max="6" width="15.28125" style="40" customWidth="1"/>
    <col min="7" max="7" width="15.00390625" style="40" customWidth="1"/>
    <col min="8" max="9" width="12.7109375" style="49" customWidth="1"/>
    <col min="10" max="10" width="17.421875" style="40" customWidth="1"/>
    <col min="11" max="11" width="17.57421875" style="40" customWidth="1"/>
    <col min="12" max="12" width="15.140625" style="40" customWidth="1"/>
    <col min="13" max="16384" width="9.140625" style="40" customWidth="1"/>
  </cols>
  <sheetData>
    <row r="1" spans="1:12" s="39" customFormat="1" ht="18" customHeight="1">
      <c r="A1" s="99" t="s">
        <v>233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2:9" ht="9" customHeight="1">
      <c r="B2" s="2"/>
      <c r="C2" s="2"/>
      <c r="E2" s="4"/>
      <c r="F2" s="3"/>
      <c r="G2" s="3"/>
      <c r="H2" s="55"/>
      <c r="I2" s="55"/>
    </row>
    <row r="3" spans="2:12" ht="15">
      <c r="B3" s="2"/>
      <c r="C3" s="2"/>
      <c r="E3" s="3"/>
      <c r="F3" s="3"/>
      <c r="G3" s="3"/>
      <c r="K3" s="98" t="s">
        <v>90</v>
      </c>
      <c r="L3" s="98"/>
    </row>
    <row r="4" spans="1:12" s="41" customFormat="1" ht="68.25" customHeight="1">
      <c r="A4" s="5" t="s">
        <v>109</v>
      </c>
      <c r="B4" s="6" t="s">
        <v>89</v>
      </c>
      <c r="C4" s="56" t="s">
        <v>228</v>
      </c>
      <c r="D4" s="6" t="s">
        <v>215</v>
      </c>
      <c r="E4" s="6" t="s">
        <v>216</v>
      </c>
      <c r="F4" s="56" t="s">
        <v>219</v>
      </c>
      <c r="G4" s="6" t="s">
        <v>220</v>
      </c>
      <c r="H4" s="56" t="s">
        <v>214</v>
      </c>
      <c r="I4" s="71" t="s">
        <v>238</v>
      </c>
      <c r="J4" s="56" t="s">
        <v>234</v>
      </c>
      <c r="K4" s="56" t="s">
        <v>235</v>
      </c>
      <c r="L4" s="56" t="s">
        <v>236</v>
      </c>
    </row>
    <row r="5" spans="1:12" s="42" customFormat="1" ht="16.5" customHeight="1">
      <c r="A5" s="7">
        <v>1</v>
      </c>
      <c r="B5" s="8">
        <v>2</v>
      </c>
      <c r="C5" s="8">
        <v>3</v>
      </c>
      <c r="D5" s="9">
        <v>4</v>
      </c>
      <c r="E5" s="6">
        <v>5</v>
      </c>
      <c r="F5" s="57">
        <v>6</v>
      </c>
      <c r="G5" s="57">
        <v>7</v>
      </c>
      <c r="H5" s="57">
        <v>8</v>
      </c>
      <c r="I5" s="58">
        <v>9</v>
      </c>
      <c r="J5" s="58">
        <v>10</v>
      </c>
      <c r="K5" s="58">
        <v>11</v>
      </c>
      <c r="L5" s="58">
        <v>12</v>
      </c>
    </row>
    <row r="6" spans="1:9" s="41" customFormat="1" ht="13.5" customHeight="1">
      <c r="A6" s="10"/>
      <c r="B6" s="11"/>
      <c r="C6" s="11"/>
      <c r="D6" s="10"/>
      <c r="E6" s="59"/>
      <c r="F6" s="60"/>
      <c r="G6" s="60"/>
      <c r="H6" s="61"/>
      <c r="I6" s="12"/>
    </row>
    <row r="7" spans="1:11" s="43" customFormat="1" ht="15" customHeight="1">
      <c r="A7" s="27"/>
      <c r="B7" s="13" t="s">
        <v>72</v>
      </c>
      <c r="C7" s="75"/>
      <c r="D7" s="27"/>
      <c r="E7" s="27"/>
      <c r="F7" s="62"/>
      <c r="G7" s="62"/>
      <c r="H7" s="63"/>
      <c r="I7" s="63"/>
      <c r="J7" s="3"/>
      <c r="K7" s="62"/>
    </row>
    <row r="8" spans="1:12" s="44" customFormat="1" ht="29.25" customHeight="1">
      <c r="A8" s="28" t="s">
        <v>73</v>
      </c>
      <c r="B8" s="14" t="s">
        <v>95</v>
      </c>
      <c r="C8" s="75">
        <f>C9+C12+C14+C17+C21+C22+C23+C24+C25+C26+C27+C28+C29+C30</f>
        <v>16606288.982390001</v>
      </c>
      <c r="D8" s="75">
        <f>D9+D12+D14+D17+D21+D22+D23+D24+D25+D26+D27+D28+D29+D30</f>
        <v>15067670.6</v>
      </c>
      <c r="E8" s="75">
        <f>E9+E12+E14+E17+E21+E22+E23+E24+E25+E26+E27+E28+E29+E30</f>
        <v>15512470.6</v>
      </c>
      <c r="F8" s="85">
        <f>F9+F12+F14+F17+F21+F22+F23+F24+F25+F26+F27+F28+F29+F30-0.1</f>
        <v>10720447.1</v>
      </c>
      <c r="G8" s="75">
        <f>G9+G12+G14+G17+G21+G22+G23+G24+G25+G26+G27+G28+G29+G30</f>
        <v>15512470.6</v>
      </c>
      <c r="H8" s="75">
        <f>H9+H12+H14+H17+H21+H22+H23+H24+H25+H26+H27+H28+H29+H30</f>
        <v>14869607.4</v>
      </c>
      <c r="I8" s="76">
        <f>+H8/G8*100</f>
        <v>95.85582969614138</v>
      </c>
      <c r="J8" s="75">
        <f>J9+J12+J14+J17+J21+J22+J23+J24+J25+J26+J27+J28+J29+J30</f>
        <v>15401965</v>
      </c>
      <c r="K8" s="75">
        <f>K9+K12+K14+K17+K21+K22+K23+K24+K25+K26+K27+K28+K29+K30</f>
        <v>16129584.7</v>
      </c>
      <c r="L8" s="75">
        <f>L9+L12+L14+L17+L21+L22+L23+L24+L25+L26+L27+L28+L29+L30</f>
        <v>16643279</v>
      </c>
    </row>
    <row r="9" spans="1:12" s="45" customFormat="1" ht="14.25" customHeight="1">
      <c r="A9" s="28" t="s">
        <v>74</v>
      </c>
      <c r="B9" s="14" t="s">
        <v>113</v>
      </c>
      <c r="C9" s="76">
        <f aca="true" t="shared" si="0" ref="C9:H9">C10+C11</f>
        <v>10750952.374219999</v>
      </c>
      <c r="D9" s="76">
        <f t="shared" si="0"/>
        <v>9314165</v>
      </c>
      <c r="E9" s="76">
        <f t="shared" si="0"/>
        <v>9314165</v>
      </c>
      <c r="F9" s="86">
        <f t="shared" si="0"/>
        <v>6252304.3</v>
      </c>
      <c r="G9" s="76">
        <f t="shared" si="0"/>
        <v>9314165</v>
      </c>
      <c r="H9" s="76">
        <f t="shared" si="0"/>
        <v>8688076</v>
      </c>
      <c r="I9" s="76">
        <f>+H9/G9*100</f>
        <v>93.27809846615344</v>
      </c>
      <c r="J9" s="76">
        <f>J10+J11</f>
        <v>9454691</v>
      </c>
      <c r="K9" s="76">
        <f>K10+K11</f>
        <v>9912549</v>
      </c>
      <c r="L9" s="76">
        <f>L10+L11</f>
        <v>10116319</v>
      </c>
    </row>
    <row r="10" spans="1:12" s="44" customFormat="1" ht="17.25" customHeight="1">
      <c r="A10" s="29" t="s">
        <v>75</v>
      </c>
      <c r="B10" s="15" t="s">
        <v>69</v>
      </c>
      <c r="C10" s="12">
        <v>5407769.081569999</v>
      </c>
      <c r="D10" s="12">
        <v>3579831</v>
      </c>
      <c r="E10" s="12">
        <v>3579831</v>
      </c>
      <c r="F10" s="69">
        <v>2382926.3</v>
      </c>
      <c r="G10" s="12">
        <v>3579831</v>
      </c>
      <c r="H10" s="12">
        <v>3054533</v>
      </c>
      <c r="I10" s="77">
        <f aca="true" t="shared" si="1" ref="I9:I79">+H10/G10*100</f>
        <v>85.32617880564753</v>
      </c>
      <c r="J10" s="12">
        <v>3629759</v>
      </c>
      <c r="K10" s="12">
        <v>3878554</v>
      </c>
      <c r="L10" s="12">
        <v>3810764</v>
      </c>
    </row>
    <row r="11" spans="1:12" s="44" customFormat="1" ht="18" customHeight="1">
      <c r="A11" s="29" t="s">
        <v>76</v>
      </c>
      <c r="B11" s="15" t="s">
        <v>39</v>
      </c>
      <c r="C11" s="12">
        <v>5343183.292649999</v>
      </c>
      <c r="D11" s="12">
        <v>5734334</v>
      </c>
      <c r="E11" s="12">
        <v>5734334</v>
      </c>
      <c r="F11" s="69">
        <v>3869378</v>
      </c>
      <c r="G11" s="12">
        <v>5734334</v>
      </c>
      <c r="H11" s="12">
        <v>5633543</v>
      </c>
      <c r="I11" s="77">
        <f t="shared" si="1"/>
        <v>98.24232421759876</v>
      </c>
      <c r="J11" s="12">
        <v>5824932</v>
      </c>
      <c r="K11" s="12">
        <v>6033995</v>
      </c>
      <c r="L11" s="12">
        <v>6305555</v>
      </c>
    </row>
    <row r="12" spans="1:12" s="45" customFormat="1" ht="38.25">
      <c r="A12" s="28" t="s">
        <v>77</v>
      </c>
      <c r="B12" s="14" t="s">
        <v>114</v>
      </c>
      <c r="C12" s="76">
        <f aca="true" t="shared" si="2" ref="C12:H12">C13</f>
        <v>1555671.50802</v>
      </c>
      <c r="D12" s="76">
        <f t="shared" si="2"/>
        <v>1347719</v>
      </c>
      <c r="E12" s="76">
        <f t="shared" si="2"/>
        <v>1724719</v>
      </c>
      <c r="F12" s="86">
        <f t="shared" si="2"/>
        <v>1433059.9</v>
      </c>
      <c r="G12" s="76">
        <f t="shared" si="2"/>
        <v>1724719</v>
      </c>
      <c r="H12" s="76">
        <f t="shared" si="2"/>
        <v>1746948</v>
      </c>
      <c r="I12" s="76">
        <f t="shared" si="1"/>
        <v>101.28884763257086</v>
      </c>
      <c r="J12" s="76">
        <f>J13</f>
        <v>1632319</v>
      </c>
      <c r="K12" s="76">
        <f>K13</f>
        <v>1857277</v>
      </c>
      <c r="L12" s="76">
        <f>L13</f>
        <v>2081713</v>
      </c>
    </row>
    <row r="13" spans="1:12" s="44" customFormat="1" ht="39.75" customHeight="1">
      <c r="A13" s="29" t="s">
        <v>78</v>
      </c>
      <c r="B13" s="15" t="s">
        <v>91</v>
      </c>
      <c r="C13" s="12">
        <v>1555671.50802</v>
      </c>
      <c r="D13" s="12">
        <v>1347719</v>
      </c>
      <c r="E13" s="12">
        <v>1724719</v>
      </c>
      <c r="F13" s="69">
        <f>299101.5+1133958.4</f>
        <v>1433059.9</v>
      </c>
      <c r="G13" s="12">
        <v>1724719</v>
      </c>
      <c r="H13" s="12">
        <v>1746948</v>
      </c>
      <c r="I13" s="77">
        <f t="shared" si="1"/>
        <v>101.28884763257086</v>
      </c>
      <c r="J13" s="12">
        <v>1632319</v>
      </c>
      <c r="K13" s="12">
        <v>1857277</v>
      </c>
      <c r="L13" s="12">
        <v>2081713</v>
      </c>
    </row>
    <row r="14" spans="1:12" s="45" customFormat="1" ht="15" customHeight="1">
      <c r="A14" s="28" t="s">
        <v>79</v>
      </c>
      <c r="B14" s="14" t="s">
        <v>115</v>
      </c>
      <c r="C14" s="76">
        <f aca="true" t="shared" si="3" ref="C14:H14">C15+C16</f>
        <v>1114771.8087900002</v>
      </c>
      <c r="D14" s="76">
        <f t="shared" si="3"/>
        <v>1144203</v>
      </c>
      <c r="E14" s="76">
        <f t="shared" si="3"/>
        <v>1212003</v>
      </c>
      <c r="F14" s="86">
        <f t="shared" si="3"/>
        <v>914816.2</v>
      </c>
      <c r="G14" s="76">
        <f t="shared" si="3"/>
        <v>1212003</v>
      </c>
      <c r="H14" s="76">
        <f t="shared" si="3"/>
        <v>1212015</v>
      </c>
      <c r="I14" s="76">
        <f t="shared" si="1"/>
        <v>100.00099009655916</v>
      </c>
      <c r="J14" s="76">
        <f>J15+J16</f>
        <v>1259284</v>
      </c>
      <c r="K14" s="76">
        <f>K15+K16</f>
        <v>1309655</v>
      </c>
      <c r="L14" s="76">
        <f>L15+L16</f>
        <v>1359422</v>
      </c>
    </row>
    <row r="15" spans="1:12" s="44" customFormat="1" ht="27" customHeight="1">
      <c r="A15" s="29" t="s">
        <v>196</v>
      </c>
      <c r="B15" s="15" t="s">
        <v>127</v>
      </c>
      <c r="C15" s="12">
        <v>1114764.11874</v>
      </c>
      <c r="D15" s="12">
        <v>1144203</v>
      </c>
      <c r="E15" s="12">
        <f>1200003+12000</f>
        <v>1212003</v>
      </c>
      <c r="F15" s="69">
        <v>914816.2</v>
      </c>
      <c r="G15" s="12">
        <f>1200003+12000</f>
        <v>1212003</v>
      </c>
      <c r="H15" s="12">
        <v>1212015</v>
      </c>
      <c r="I15" s="77">
        <f t="shared" si="1"/>
        <v>100.00099009655916</v>
      </c>
      <c r="J15" s="12">
        <v>1259284</v>
      </c>
      <c r="K15" s="12">
        <v>1309655</v>
      </c>
      <c r="L15" s="12">
        <v>1359422</v>
      </c>
    </row>
    <row r="16" spans="1:12" s="45" customFormat="1" ht="14.25" customHeight="1">
      <c r="A16" s="29" t="s">
        <v>80</v>
      </c>
      <c r="B16" s="15" t="s">
        <v>81</v>
      </c>
      <c r="C16" s="12">
        <v>7.69005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76"/>
      <c r="J16" s="12">
        <v>0</v>
      </c>
      <c r="K16" s="12">
        <v>0</v>
      </c>
      <c r="L16" s="12">
        <v>0</v>
      </c>
    </row>
    <row r="17" spans="1:12" s="45" customFormat="1" ht="14.25" customHeight="1">
      <c r="A17" s="28" t="s">
        <v>82</v>
      </c>
      <c r="B17" s="14" t="s">
        <v>93</v>
      </c>
      <c r="C17" s="76">
        <f aca="true" t="shared" si="4" ref="C17:H17">SUM(C18:C20)</f>
        <v>2199964.0398399998</v>
      </c>
      <c r="D17" s="76">
        <f t="shared" si="4"/>
        <v>2508959</v>
      </c>
      <c r="E17" s="76">
        <f t="shared" si="4"/>
        <v>2508959</v>
      </c>
      <c r="F17" s="86">
        <f t="shared" si="4"/>
        <v>1730895.3</v>
      </c>
      <c r="G17" s="76">
        <f t="shared" si="4"/>
        <v>2508959</v>
      </c>
      <c r="H17" s="76">
        <f t="shared" si="4"/>
        <v>2619840</v>
      </c>
      <c r="I17" s="76">
        <f t="shared" si="1"/>
        <v>104.41940262873966</v>
      </c>
      <c r="J17" s="76">
        <f>SUM(J18:J20)</f>
        <v>2535603</v>
      </c>
      <c r="K17" s="76">
        <f>SUM(K18:K20)</f>
        <v>2553770</v>
      </c>
      <c r="L17" s="76">
        <f>SUM(L18:L20)</f>
        <v>2568881</v>
      </c>
    </row>
    <row r="18" spans="1:12" s="46" customFormat="1" ht="15" customHeight="1">
      <c r="A18" s="29" t="s">
        <v>83</v>
      </c>
      <c r="B18" s="15" t="s">
        <v>84</v>
      </c>
      <c r="C18" s="12">
        <v>1594986.62081</v>
      </c>
      <c r="D18" s="12">
        <v>1882123</v>
      </c>
      <c r="E18" s="12">
        <v>1882123</v>
      </c>
      <c r="F18" s="69">
        <v>1438850.8</v>
      </c>
      <c r="G18" s="12">
        <v>1882123</v>
      </c>
      <c r="H18" s="12">
        <v>1987283</v>
      </c>
      <c r="I18" s="77">
        <f t="shared" si="1"/>
        <v>105.58730752453481</v>
      </c>
      <c r="J18" s="12">
        <v>1902179</v>
      </c>
      <c r="K18" s="12">
        <v>1917475</v>
      </c>
      <c r="L18" s="12">
        <v>1929596</v>
      </c>
    </row>
    <row r="19" spans="1:12" s="45" customFormat="1" ht="15" customHeight="1">
      <c r="A19" s="29" t="s">
        <v>85</v>
      </c>
      <c r="B19" s="15" t="s">
        <v>70</v>
      </c>
      <c r="C19" s="12">
        <v>603363.91903</v>
      </c>
      <c r="D19" s="12">
        <v>625324</v>
      </c>
      <c r="E19" s="12">
        <v>625324</v>
      </c>
      <c r="F19" s="69">
        <v>290130.5</v>
      </c>
      <c r="G19" s="12">
        <v>625324</v>
      </c>
      <c r="H19" s="12">
        <v>629841</v>
      </c>
      <c r="I19" s="77">
        <f t="shared" si="1"/>
        <v>100.72234553607412</v>
      </c>
      <c r="J19" s="12">
        <v>630064</v>
      </c>
      <c r="K19" s="12">
        <v>632935</v>
      </c>
      <c r="L19" s="12">
        <v>635925</v>
      </c>
    </row>
    <row r="20" spans="1:12" s="45" customFormat="1" ht="15" customHeight="1">
      <c r="A20" s="30" t="s">
        <v>175</v>
      </c>
      <c r="B20" s="16" t="s">
        <v>174</v>
      </c>
      <c r="C20" s="12">
        <v>1613.5</v>
      </c>
      <c r="D20" s="12">
        <v>1512</v>
      </c>
      <c r="E20" s="12">
        <v>1512</v>
      </c>
      <c r="F20" s="69">
        <v>1914</v>
      </c>
      <c r="G20" s="12">
        <v>1512</v>
      </c>
      <c r="H20" s="12">
        <v>2716</v>
      </c>
      <c r="I20" s="77">
        <f t="shared" si="1"/>
        <v>179.62962962962962</v>
      </c>
      <c r="J20" s="12">
        <v>3360</v>
      </c>
      <c r="K20" s="12">
        <v>3360</v>
      </c>
      <c r="L20" s="12">
        <v>3360</v>
      </c>
    </row>
    <row r="21" spans="1:12" s="45" customFormat="1" ht="27" customHeight="1">
      <c r="A21" s="28" t="s">
        <v>86</v>
      </c>
      <c r="B21" s="14" t="s">
        <v>116</v>
      </c>
      <c r="C21" s="76">
        <v>16539.34459</v>
      </c>
      <c r="D21" s="76">
        <v>16300</v>
      </c>
      <c r="E21" s="76">
        <v>16300</v>
      </c>
      <c r="F21" s="86">
        <v>12261.5</v>
      </c>
      <c r="G21" s="76">
        <v>16300</v>
      </c>
      <c r="H21" s="76">
        <v>17577</v>
      </c>
      <c r="I21" s="76">
        <f t="shared" si="1"/>
        <v>107.83435582822085</v>
      </c>
      <c r="J21" s="76">
        <v>18134</v>
      </c>
      <c r="K21" s="76">
        <v>18839</v>
      </c>
      <c r="L21" s="76">
        <v>19541</v>
      </c>
    </row>
    <row r="22" spans="1:12" s="45" customFormat="1" ht="15" customHeight="1">
      <c r="A22" s="28" t="s">
        <v>87</v>
      </c>
      <c r="B22" s="14" t="s">
        <v>117</v>
      </c>
      <c r="C22" s="76">
        <v>115487.23391</v>
      </c>
      <c r="D22" s="76">
        <v>126511</v>
      </c>
      <c r="E22" s="76">
        <v>126511</v>
      </c>
      <c r="F22" s="86">
        <v>89561</v>
      </c>
      <c r="G22" s="76">
        <v>126511</v>
      </c>
      <c r="H22" s="76">
        <v>126405</v>
      </c>
      <c r="I22" s="76">
        <f t="shared" si="1"/>
        <v>99.91621281943863</v>
      </c>
      <c r="J22" s="76">
        <v>124283</v>
      </c>
      <c r="K22" s="76">
        <v>123982</v>
      </c>
      <c r="L22" s="76">
        <v>124352</v>
      </c>
    </row>
    <row r="23" spans="1:12" s="45" customFormat="1" ht="39" customHeight="1">
      <c r="A23" s="28" t="s">
        <v>36</v>
      </c>
      <c r="B23" s="14" t="s">
        <v>118</v>
      </c>
      <c r="C23" s="76">
        <v>127.28823</v>
      </c>
      <c r="D23" s="76">
        <v>0</v>
      </c>
      <c r="E23" s="76">
        <v>0</v>
      </c>
      <c r="F23" s="86">
        <v>26.5</v>
      </c>
      <c r="G23" s="76">
        <v>0</v>
      </c>
      <c r="H23" s="76">
        <v>26.5</v>
      </c>
      <c r="I23" s="76"/>
      <c r="J23" s="76">
        <v>0</v>
      </c>
      <c r="K23" s="76">
        <v>0</v>
      </c>
      <c r="L23" s="76">
        <v>0</v>
      </c>
    </row>
    <row r="24" spans="1:12" s="45" customFormat="1" ht="43.5" customHeight="1">
      <c r="A24" s="28" t="s">
        <v>37</v>
      </c>
      <c r="B24" s="14" t="s">
        <v>119</v>
      </c>
      <c r="C24" s="76">
        <v>53248.18559</v>
      </c>
      <c r="D24" s="76">
        <v>41433</v>
      </c>
      <c r="E24" s="76">
        <v>41433</v>
      </c>
      <c r="F24" s="86">
        <v>41331.9</v>
      </c>
      <c r="G24" s="76">
        <v>41433</v>
      </c>
      <c r="H24" s="76">
        <v>49302.3</v>
      </c>
      <c r="I24" s="76">
        <f t="shared" si="1"/>
        <v>118.99283180073854</v>
      </c>
      <c r="J24" s="76">
        <v>39147</v>
      </c>
      <c r="K24" s="76">
        <v>38312.7</v>
      </c>
      <c r="L24" s="76">
        <v>37489</v>
      </c>
    </row>
    <row r="25" spans="1:12" s="45" customFormat="1" ht="31.5" customHeight="1">
      <c r="A25" s="28" t="s">
        <v>38</v>
      </c>
      <c r="B25" s="14" t="s">
        <v>120</v>
      </c>
      <c r="C25" s="76">
        <v>80771.07602</v>
      </c>
      <c r="D25" s="76">
        <v>81253.6</v>
      </c>
      <c r="E25" s="76">
        <v>81253.6</v>
      </c>
      <c r="F25" s="86">
        <v>83213.3</v>
      </c>
      <c r="G25" s="76">
        <v>81253.6</v>
      </c>
      <c r="H25" s="76">
        <v>100085</v>
      </c>
      <c r="I25" s="76">
        <f t="shared" si="1"/>
        <v>123.1760808136501</v>
      </c>
      <c r="J25" s="76">
        <v>110580</v>
      </c>
      <c r="K25" s="76">
        <v>126804</v>
      </c>
      <c r="L25" s="76">
        <v>141554</v>
      </c>
    </row>
    <row r="26" spans="1:12" s="45" customFormat="1" ht="28.5" customHeight="1">
      <c r="A26" s="31" t="s">
        <v>31</v>
      </c>
      <c r="B26" s="17" t="s">
        <v>121</v>
      </c>
      <c r="C26" s="76">
        <v>417511.35501999996</v>
      </c>
      <c r="D26" s="76">
        <v>30045</v>
      </c>
      <c r="E26" s="76">
        <v>30045</v>
      </c>
      <c r="F26" s="86">
        <v>23842.9</v>
      </c>
      <c r="G26" s="76">
        <v>30045</v>
      </c>
      <c r="H26" s="76">
        <v>21000</v>
      </c>
      <c r="I26" s="76">
        <f t="shared" si="1"/>
        <v>69.89515726410384</v>
      </c>
      <c r="J26" s="76">
        <v>26004</v>
      </c>
      <c r="K26" s="76">
        <v>25799</v>
      </c>
      <c r="L26" s="76">
        <v>23774</v>
      </c>
    </row>
    <row r="27" spans="1:12" s="45" customFormat="1" ht="25.5">
      <c r="A27" s="31" t="s">
        <v>32</v>
      </c>
      <c r="B27" s="17" t="s">
        <v>122</v>
      </c>
      <c r="C27" s="76">
        <v>60082.25972</v>
      </c>
      <c r="D27" s="76">
        <v>291408</v>
      </c>
      <c r="E27" s="76">
        <v>291408</v>
      </c>
      <c r="F27" s="86">
        <v>16632.2</v>
      </c>
      <c r="G27" s="76">
        <v>291408</v>
      </c>
      <c r="H27" s="76">
        <v>127359.6</v>
      </c>
      <c r="I27" s="76">
        <f t="shared" si="1"/>
        <v>43.70490858178225</v>
      </c>
      <c r="J27" s="76">
        <v>50519</v>
      </c>
      <c r="K27" s="76">
        <v>4000</v>
      </c>
      <c r="L27" s="76">
        <v>4000</v>
      </c>
    </row>
    <row r="28" spans="1:12" s="45" customFormat="1" ht="18" customHeight="1">
      <c r="A28" s="31" t="s">
        <v>33</v>
      </c>
      <c r="B28" s="17" t="s">
        <v>123</v>
      </c>
      <c r="C28" s="76">
        <v>647.80887</v>
      </c>
      <c r="D28" s="76">
        <v>306</v>
      </c>
      <c r="E28" s="76">
        <v>306</v>
      </c>
      <c r="F28" s="86">
        <v>830</v>
      </c>
      <c r="G28" s="76">
        <v>306</v>
      </c>
      <c r="H28" s="76">
        <v>830</v>
      </c>
      <c r="I28" s="76">
        <f t="shared" si="1"/>
        <v>271.24183006535947</v>
      </c>
      <c r="J28" s="76">
        <v>700</v>
      </c>
      <c r="K28" s="76">
        <v>700</v>
      </c>
      <c r="L28" s="76">
        <v>700</v>
      </c>
    </row>
    <row r="29" spans="1:13" s="45" customFormat="1" ht="19.5" customHeight="1">
      <c r="A29" s="31" t="s">
        <v>34</v>
      </c>
      <c r="B29" s="17" t="s">
        <v>124</v>
      </c>
      <c r="C29" s="76">
        <v>240484.58578999998</v>
      </c>
      <c r="D29" s="76">
        <v>165368</v>
      </c>
      <c r="E29" s="76">
        <v>165368</v>
      </c>
      <c r="F29" s="86">
        <v>121659.2</v>
      </c>
      <c r="G29" s="76">
        <v>165368</v>
      </c>
      <c r="H29" s="76">
        <v>160130</v>
      </c>
      <c r="I29" s="76">
        <f t="shared" si="1"/>
        <v>96.83251898795415</v>
      </c>
      <c r="J29" s="76">
        <v>150701</v>
      </c>
      <c r="K29" s="76">
        <v>157897</v>
      </c>
      <c r="L29" s="76">
        <v>165534</v>
      </c>
      <c r="M29" s="73"/>
    </row>
    <row r="30" spans="1:13" s="45" customFormat="1" ht="23.25" customHeight="1">
      <c r="A30" s="31" t="s">
        <v>35</v>
      </c>
      <c r="B30" s="17" t="s">
        <v>125</v>
      </c>
      <c r="C30" s="76">
        <v>30.11378</v>
      </c>
      <c r="D30" s="76">
        <v>0</v>
      </c>
      <c r="E30" s="76">
        <v>0</v>
      </c>
      <c r="F30" s="86">
        <v>13</v>
      </c>
      <c r="G30" s="76">
        <v>0</v>
      </c>
      <c r="H30" s="76">
        <v>13</v>
      </c>
      <c r="I30" s="76"/>
      <c r="J30" s="76">
        <v>0</v>
      </c>
      <c r="K30" s="76">
        <v>0</v>
      </c>
      <c r="L30" s="76">
        <v>0</v>
      </c>
      <c r="M30" s="73"/>
    </row>
    <row r="31" spans="1:13" s="45" customFormat="1" ht="15" customHeight="1">
      <c r="A31" s="31" t="s">
        <v>30</v>
      </c>
      <c r="B31" s="17" t="s">
        <v>112</v>
      </c>
      <c r="C31" s="76">
        <f aca="true" t="shared" si="5" ref="C31:H31">SUM(C33:C44)</f>
        <v>10116388.102450002</v>
      </c>
      <c r="D31" s="76">
        <f t="shared" si="5"/>
        <v>9832366.200000001</v>
      </c>
      <c r="E31" s="76">
        <f t="shared" si="5"/>
        <v>10406410.487160001</v>
      </c>
      <c r="F31" s="76">
        <f t="shared" si="5"/>
        <v>7559623.043559998</v>
      </c>
      <c r="G31" s="76">
        <f t="shared" si="5"/>
        <v>11096217.58716</v>
      </c>
      <c r="H31" s="76">
        <f t="shared" si="5"/>
        <v>10992859.42752</v>
      </c>
      <c r="I31" s="76">
        <f t="shared" si="1"/>
        <v>99.06852800219417</v>
      </c>
      <c r="J31" s="76">
        <f>SUM(J33:J41)</f>
        <v>10086633.399999999</v>
      </c>
      <c r="K31" s="76">
        <f>SUM(K33:K41)</f>
        <v>7608223.399999999</v>
      </c>
      <c r="L31" s="76">
        <f>SUM(L33:L41)</f>
        <v>7320789.7</v>
      </c>
      <c r="M31" s="73"/>
    </row>
    <row r="32" spans="1:13" s="45" customFormat="1" ht="26.25" customHeight="1">
      <c r="A32" s="92" t="s">
        <v>225</v>
      </c>
      <c r="B32" s="91" t="s">
        <v>226</v>
      </c>
      <c r="C32" s="12">
        <f aca="true" t="shared" si="6" ref="C32:H32">SUM(C33:C38)</f>
        <v>6085152.4</v>
      </c>
      <c r="D32" s="12">
        <f t="shared" si="6"/>
        <v>6348363.7</v>
      </c>
      <c r="E32" s="77">
        <f t="shared" si="6"/>
        <v>6529940.7</v>
      </c>
      <c r="F32" s="77">
        <f t="shared" si="6"/>
        <v>5070193.699999999</v>
      </c>
      <c r="G32" s="77">
        <f t="shared" si="6"/>
        <v>6712284.7</v>
      </c>
      <c r="H32" s="77">
        <f t="shared" si="6"/>
        <v>6712284.7</v>
      </c>
      <c r="I32" s="77">
        <f t="shared" si="1"/>
        <v>100</v>
      </c>
      <c r="J32" s="77">
        <f>SUM(J33:J38)</f>
        <v>6929646.7</v>
      </c>
      <c r="K32" s="77">
        <f>SUM(K33:K38)</f>
        <v>4749187.3</v>
      </c>
      <c r="L32" s="77">
        <f>SUM(L33:L38)</f>
        <v>4853090.4</v>
      </c>
      <c r="M32" s="73"/>
    </row>
    <row r="33" spans="1:13" s="46" customFormat="1" ht="39" customHeight="1">
      <c r="A33" s="32" t="s">
        <v>221</v>
      </c>
      <c r="B33" s="18" t="s">
        <v>224</v>
      </c>
      <c r="C33" s="12">
        <v>5790699.7</v>
      </c>
      <c r="D33" s="12">
        <v>6025779.7</v>
      </c>
      <c r="E33" s="12">
        <f>6025779700/1000</f>
        <v>6025779.7</v>
      </c>
      <c r="F33" s="12">
        <v>4519334.699999999</v>
      </c>
      <c r="G33" s="12">
        <v>6025779.7</v>
      </c>
      <c r="H33" s="12">
        <v>6025779.7</v>
      </c>
      <c r="I33" s="77">
        <f t="shared" si="1"/>
        <v>100</v>
      </c>
      <c r="J33" s="77">
        <v>6929646.7</v>
      </c>
      <c r="K33" s="77">
        <v>4749187.3</v>
      </c>
      <c r="L33" s="77">
        <v>4853090.4</v>
      </c>
      <c r="M33" s="74"/>
    </row>
    <row r="34" spans="1:13" s="46" customFormat="1" ht="40.5" customHeight="1">
      <c r="A34" s="32" t="s">
        <v>211</v>
      </c>
      <c r="B34" s="18" t="s">
        <v>222</v>
      </c>
      <c r="C34" s="12">
        <v>0</v>
      </c>
      <c r="D34" s="12">
        <v>0</v>
      </c>
      <c r="E34" s="12">
        <f>126577000/1000</f>
        <v>126577</v>
      </c>
      <c r="F34" s="12">
        <v>126577</v>
      </c>
      <c r="G34" s="12">
        <v>126577</v>
      </c>
      <c r="H34" s="12">
        <v>126577</v>
      </c>
      <c r="I34" s="77">
        <f aca="true" t="shared" si="7" ref="I34:I39">+H34/G34*100</f>
        <v>100</v>
      </c>
      <c r="J34" s="77">
        <v>0</v>
      </c>
      <c r="K34" s="77">
        <v>0</v>
      </c>
      <c r="L34" s="77">
        <v>0</v>
      </c>
      <c r="M34" s="74"/>
    </row>
    <row r="35" spans="1:12" s="46" customFormat="1" ht="68.25" customHeight="1">
      <c r="A35" s="32" t="s">
        <v>210</v>
      </c>
      <c r="B35" s="18" t="s">
        <v>223</v>
      </c>
      <c r="C35" s="12">
        <v>212346.9</v>
      </c>
      <c r="D35" s="93">
        <v>322584</v>
      </c>
      <c r="E35" s="12">
        <f>322584000/1000</f>
        <v>322584</v>
      </c>
      <c r="F35" s="12">
        <v>241938</v>
      </c>
      <c r="G35" s="12">
        <v>322584</v>
      </c>
      <c r="H35" s="12">
        <v>322584</v>
      </c>
      <c r="I35" s="77">
        <f t="shared" si="7"/>
        <v>100</v>
      </c>
      <c r="J35" s="77">
        <v>0</v>
      </c>
      <c r="K35" s="77">
        <v>0</v>
      </c>
      <c r="L35" s="77">
        <v>0</v>
      </c>
    </row>
    <row r="36" spans="1:12" s="46" customFormat="1" ht="54.75" customHeight="1">
      <c r="A36" s="32" t="s">
        <v>227</v>
      </c>
      <c r="B36" s="18" t="s">
        <v>218</v>
      </c>
      <c r="C36" s="12">
        <v>0</v>
      </c>
      <c r="D36" s="12">
        <v>0</v>
      </c>
      <c r="E36" s="12">
        <v>0</v>
      </c>
      <c r="F36" s="12">
        <v>182344</v>
      </c>
      <c r="G36" s="12">
        <v>182344</v>
      </c>
      <c r="H36" s="12">
        <v>182344</v>
      </c>
      <c r="I36" s="77">
        <f t="shared" si="7"/>
        <v>100</v>
      </c>
      <c r="J36" s="77">
        <v>0</v>
      </c>
      <c r="K36" s="77">
        <v>0</v>
      </c>
      <c r="L36" s="77">
        <v>0</v>
      </c>
    </row>
    <row r="37" spans="1:12" s="46" customFormat="1" ht="115.5" customHeight="1">
      <c r="A37" s="32" t="s">
        <v>237</v>
      </c>
      <c r="B37" s="83" t="s">
        <v>217</v>
      </c>
      <c r="C37" s="12">
        <v>0</v>
      </c>
      <c r="D37" s="12">
        <v>0</v>
      </c>
      <c r="E37" s="12">
        <v>55000</v>
      </c>
      <c r="F37" s="12">
        <v>0</v>
      </c>
      <c r="G37" s="12">
        <v>55000</v>
      </c>
      <c r="H37" s="12">
        <v>55000</v>
      </c>
      <c r="I37" s="77">
        <f t="shared" si="7"/>
        <v>100</v>
      </c>
      <c r="J37" s="77">
        <v>0</v>
      </c>
      <c r="K37" s="77">
        <v>0</v>
      </c>
      <c r="L37" s="77">
        <v>0</v>
      </c>
    </row>
    <row r="38" spans="1:12" s="46" customFormat="1" ht="40.5" customHeight="1">
      <c r="A38" s="32" t="s">
        <v>229</v>
      </c>
      <c r="B38" s="83" t="s">
        <v>230</v>
      </c>
      <c r="C38" s="12">
        <v>82105.8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77"/>
      <c r="J38" s="77">
        <v>0</v>
      </c>
      <c r="K38" s="77">
        <v>0</v>
      </c>
      <c r="L38" s="77">
        <v>0</v>
      </c>
    </row>
    <row r="39" spans="1:12" s="46" customFormat="1" ht="39.75" customHeight="1">
      <c r="A39" s="32" t="s">
        <v>203</v>
      </c>
      <c r="B39" s="18" t="s">
        <v>178</v>
      </c>
      <c r="C39" s="12">
        <v>2509477.25108</v>
      </c>
      <c r="D39" s="12">
        <v>2172659.0999999996</v>
      </c>
      <c r="E39" s="12">
        <v>1925755.2</v>
      </c>
      <c r="F39" s="12">
        <v>1384101.90723</v>
      </c>
      <c r="G39" s="12">
        <v>1925755.1999999997</v>
      </c>
      <c r="H39" s="12">
        <v>1925755.1999999997</v>
      </c>
      <c r="I39" s="77">
        <f t="shared" si="7"/>
        <v>100</v>
      </c>
      <c r="J39" s="77">
        <f>1252088.1+39219.2</f>
        <v>1291307.3</v>
      </c>
      <c r="K39" s="77">
        <v>926022.5</v>
      </c>
      <c r="L39" s="77">
        <v>494369.9999999999</v>
      </c>
    </row>
    <row r="40" spans="1:12" s="46" customFormat="1" ht="27" customHeight="1">
      <c r="A40" s="32" t="s">
        <v>204</v>
      </c>
      <c r="B40" s="18" t="s">
        <v>111</v>
      </c>
      <c r="C40" s="12">
        <v>1294458.98188</v>
      </c>
      <c r="D40" s="12">
        <v>1278604.1</v>
      </c>
      <c r="E40" s="12">
        <v>1475729.0000000002</v>
      </c>
      <c r="F40" s="12">
        <v>929381.9262999999</v>
      </c>
      <c r="G40" s="12">
        <v>1475729</v>
      </c>
      <c r="H40" s="12">
        <v>1475729</v>
      </c>
      <c r="I40" s="77">
        <f t="shared" si="1"/>
        <v>100</v>
      </c>
      <c r="J40" s="77">
        <v>1833970.1999999997</v>
      </c>
      <c r="K40" s="77">
        <v>1902549.0999999999</v>
      </c>
      <c r="L40" s="77">
        <v>1942864.7999999998</v>
      </c>
    </row>
    <row r="41" spans="1:12" s="46" customFormat="1" ht="14.25" customHeight="1">
      <c r="A41" s="32" t="s">
        <v>205</v>
      </c>
      <c r="B41" s="18" t="s">
        <v>94</v>
      </c>
      <c r="C41" s="12">
        <v>245978.32677</v>
      </c>
      <c r="D41" s="12">
        <v>32739.3</v>
      </c>
      <c r="E41" s="12">
        <v>474985.58715999994</v>
      </c>
      <c r="F41" s="12">
        <v>279303.66967000003</v>
      </c>
      <c r="G41" s="12">
        <v>982448.68716</v>
      </c>
      <c r="H41" s="12">
        <v>982448.68716</v>
      </c>
      <c r="I41" s="77">
        <f t="shared" si="1"/>
        <v>100</v>
      </c>
      <c r="J41" s="77">
        <v>31709.2</v>
      </c>
      <c r="K41" s="77">
        <v>30464.5</v>
      </c>
      <c r="L41" s="77">
        <v>30464.5</v>
      </c>
    </row>
    <row r="42" spans="1:12" s="102" customFormat="1" ht="41.25" customHeight="1">
      <c r="A42" s="100" t="s">
        <v>232</v>
      </c>
      <c r="B42" s="101" t="s">
        <v>231</v>
      </c>
      <c r="C42" s="80">
        <v>286441.39113999996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/>
      <c r="J42" s="80">
        <v>0</v>
      </c>
      <c r="K42" s="80">
        <v>0</v>
      </c>
      <c r="L42" s="80">
        <v>0</v>
      </c>
    </row>
    <row r="43" spans="1:12" s="102" customFormat="1" ht="63.75">
      <c r="A43" s="100" t="s">
        <v>198</v>
      </c>
      <c r="B43" s="101" t="s">
        <v>166</v>
      </c>
      <c r="C43" s="80">
        <v>5786.848599999999</v>
      </c>
      <c r="D43" s="80">
        <v>0</v>
      </c>
      <c r="E43" s="80">
        <v>0</v>
      </c>
      <c r="F43" s="80">
        <v>1213.1752900000001</v>
      </c>
      <c r="G43" s="80">
        <v>0</v>
      </c>
      <c r="H43" s="80">
        <v>1213.1752900000001</v>
      </c>
      <c r="I43" s="80"/>
      <c r="J43" s="80">
        <v>0</v>
      </c>
      <c r="K43" s="80">
        <v>0</v>
      </c>
      <c r="L43" s="80">
        <v>0</v>
      </c>
    </row>
    <row r="44" spans="1:12" s="102" customFormat="1" ht="41.25" customHeight="1">
      <c r="A44" s="100" t="s">
        <v>197</v>
      </c>
      <c r="B44" s="101" t="s">
        <v>167</v>
      </c>
      <c r="C44" s="80">
        <v>-310907.09702</v>
      </c>
      <c r="D44" s="80">
        <v>0</v>
      </c>
      <c r="E44" s="80">
        <v>0</v>
      </c>
      <c r="F44" s="80">
        <v>-104571.33493000001</v>
      </c>
      <c r="G44" s="80">
        <v>0</v>
      </c>
      <c r="H44" s="80">
        <v>-104571.33493000001</v>
      </c>
      <c r="I44" s="80"/>
      <c r="J44" s="80">
        <v>0</v>
      </c>
      <c r="K44" s="80">
        <v>0</v>
      </c>
      <c r="L44" s="80">
        <v>0</v>
      </c>
    </row>
    <row r="45" spans="1:12" s="47" customFormat="1" ht="21" customHeight="1">
      <c r="A45" s="28"/>
      <c r="B45" s="14" t="s">
        <v>126</v>
      </c>
      <c r="C45" s="78">
        <f aca="true" t="shared" si="8" ref="C45:H45">C31+C8</f>
        <v>26722677.084840003</v>
      </c>
      <c r="D45" s="78">
        <f t="shared" si="8"/>
        <v>24900036.8</v>
      </c>
      <c r="E45" s="78">
        <f t="shared" si="8"/>
        <v>25918881.08716</v>
      </c>
      <c r="F45" s="78">
        <f t="shared" si="8"/>
        <v>18280070.14356</v>
      </c>
      <c r="G45" s="78">
        <f t="shared" si="8"/>
        <v>26608688.18716</v>
      </c>
      <c r="H45" s="78">
        <f t="shared" si="8"/>
        <v>25862466.827519998</v>
      </c>
      <c r="I45" s="76">
        <f t="shared" si="1"/>
        <v>97.19557253483812</v>
      </c>
      <c r="J45" s="78">
        <f>J31+J8</f>
        <v>25488598.4</v>
      </c>
      <c r="K45" s="78">
        <f>K31+K8</f>
        <v>23737808.099999998</v>
      </c>
      <c r="L45" s="78">
        <f>L31+L8</f>
        <v>23964068.7</v>
      </c>
    </row>
    <row r="46" spans="1:12" ht="18" customHeight="1">
      <c r="A46" s="33"/>
      <c r="B46" s="19" t="s">
        <v>110</v>
      </c>
      <c r="C46" s="94"/>
      <c r="D46" s="79"/>
      <c r="E46" s="84"/>
      <c r="F46" s="78"/>
      <c r="G46" s="78"/>
      <c r="H46" s="76"/>
      <c r="I46" s="76"/>
      <c r="J46" s="80"/>
      <c r="K46" s="80"/>
      <c r="L46" s="80"/>
    </row>
    <row r="47" spans="1:12" s="48" customFormat="1" ht="14.25">
      <c r="A47" s="34" t="s">
        <v>40</v>
      </c>
      <c r="B47" s="20" t="s">
        <v>0</v>
      </c>
      <c r="C47" s="76">
        <v>1418956.27112</v>
      </c>
      <c r="D47" s="76">
        <f>SUM(D48:D56)</f>
        <v>2390505.385</v>
      </c>
      <c r="E47" s="80">
        <f>SUM(E48:E56)</f>
        <v>1838551.9171000002</v>
      </c>
      <c r="F47" s="80">
        <f>SUM(F48:F56)</f>
        <v>1248091.64988</v>
      </c>
      <c r="G47" s="80">
        <f>SUM(G48:G56)</f>
        <v>2394920.05368</v>
      </c>
      <c r="H47" s="80">
        <f>SUM(H48:H56)</f>
        <v>1761985.8635384613</v>
      </c>
      <c r="I47" s="76">
        <f>+H47/G47*100</f>
        <v>73.57180298486452</v>
      </c>
      <c r="J47" s="80">
        <v>1971968.74152</v>
      </c>
      <c r="K47" s="80">
        <v>2039847.0315699999</v>
      </c>
      <c r="L47" s="80">
        <v>2544646.63152</v>
      </c>
    </row>
    <row r="48" spans="1:12" ht="38.25">
      <c r="A48" s="35" t="s">
        <v>41</v>
      </c>
      <c r="B48" s="16" t="s">
        <v>130</v>
      </c>
      <c r="C48" s="95">
        <v>5695.48338</v>
      </c>
      <c r="D48" s="95">
        <v>3941</v>
      </c>
      <c r="E48" s="82">
        <f>3941000/1000</f>
        <v>3941</v>
      </c>
      <c r="F48" s="82">
        <f>2846896.65/1000</f>
        <v>2846.8966499999997</v>
      </c>
      <c r="G48" s="82">
        <v>4013.5</v>
      </c>
      <c r="H48" s="82">
        <v>4013.5</v>
      </c>
      <c r="I48" s="76">
        <f t="shared" si="1"/>
        <v>100</v>
      </c>
      <c r="J48" s="82">
        <v>4112</v>
      </c>
      <c r="K48" s="82">
        <v>4112</v>
      </c>
      <c r="L48" s="82">
        <v>4112</v>
      </c>
    </row>
    <row r="49" spans="1:12" ht="51">
      <c r="A49" s="35" t="s">
        <v>42</v>
      </c>
      <c r="B49" s="16" t="s">
        <v>131</v>
      </c>
      <c r="C49" s="95">
        <v>61366.67813</v>
      </c>
      <c r="D49" s="95">
        <v>50159</v>
      </c>
      <c r="E49" s="82">
        <f>57346287.16/1000</f>
        <v>57346.28716</v>
      </c>
      <c r="F49" s="82">
        <f>41410448.23/1000</f>
        <v>41410.448229999995</v>
      </c>
      <c r="G49" s="82">
        <v>57346.28716</v>
      </c>
      <c r="H49" s="82">
        <v>56823.168816992074</v>
      </c>
      <c r="I49" s="76">
        <f t="shared" si="1"/>
        <v>99.08779038903009</v>
      </c>
      <c r="J49" s="82">
        <v>50916</v>
      </c>
      <c r="K49" s="82">
        <v>45162</v>
      </c>
      <c r="L49" s="82">
        <v>44755</v>
      </c>
    </row>
    <row r="50" spans="1:12" ht="63.75">
      <c r="A50" s="35" t="s">
        <v>1</v>
      </c>
      <c r="B50" s="16" t="s">
        <v>132</v>
      </c>
      <c r="C50" s="95">
        <v>130572.02058</v>
      </c>
      <c r="D50" s="95">
        <v>126951.5</v>
      </c>
      <c r="E50" s="82">
        <f>128524283.8/1000</f>
        <v>128524.28379999999</v>
      </c>
      <c r="F50" s="82">
        <f>89860113.97/1000</f>
        <v>89860.11397</v>
      </c>
      <c r="G50" s="82">
        <v>128679.37980000001</v>
      </c>
      <c r="H50" s="82">
        <v>127505.55413012793</v>
      </c>
      <c r="I50" s="76">
        <f t="shared" si="1"/>
        <v>99.08779038903009</v>
      </c>
      <c r="J50" s="82">
        <v>131125.4</v>
      </c>
      <c r="K50" s="82">
        <v>116308.1</v>
      </c>
      <c r="L50" s="82">
        <v>115259.8</v>
      </c>
    </row>
    <row r="51" spans="1:12" ht="15">
      <c r="A51" s="35" t="s">
        <v>43</v>
      </c>
      <c r="B51" s="16" t="s">
        <v>133</v>
      </c>
      <c r="C51" s="95">
        <v>91169.87088</v>
      </c>
      <c r="D51" s="95">
        <v>87527.8</v>
      </c>
      <c r="E51" s="82">
        <f>89405819.15/1000</f>
        <v>89405.81915000001</v>
      </c>
      <c r="F51" s="82">
        <f>64558515.42/1000</f>
        <v>64558.51542</v>
      </c>
      <c r="G51" s="82">
        <v>89405.81915</v>
      </c>
      <c r="H51" s="82">
        <v>89405.81915</v>
      </c>
      <c r="I51" s="76">
        <f t="shared" si="1"/>
        <v>100</v>
      </c>
      <c r="J51" s="82">
        <v>88299.4</v>
      </c>
      <c r="K51" s="82">
        <v>78355.846</v>
      </c>
      <c r="L51" s="82">
        <v>77662.982</v>
      </c>
    </row>
    <row r="52" spans="1:12" ht="41.25" customHeight="1">
      <c r="A52" s="35" t="s">
        <v>44</v>
      </c>
      <c r="B52" s="16" t="s">
        <v>134</v>
      </c>
      <c r="C52" s="95">
        <v>72594.38606</v>
      </c>
      <c r="D52" s="95">
        <v>71315</v>
      </c>
      <c r="E52" s="82">
        <f>71773805.76/1000</f>
        <v>71773.80576</v>
      </c>
      <c r="F52" s="82">
        <f>49126636.78/1000</f>
        <v>49126.63678</v>
      </c>
      <c r="G52" s="82">
        <v>71773.80576</v>
      </c>
      <c r="H52" s="82">
        <v>71119.0782056984</v>
      </c>
      <c r="I52" s="76">
        <f t="shared" si="1"/>
        <v>99.08779038903009</v>
      </c>
      <c r="J52" s="82">
        <v>72786</v>
      </c>
      <c r="K52" s="82">
        <v>64561.182</v>
      </c>
      <c r="L52" s="82">
        <v>63978.894</v>
      </c>
    </row>
    <row r="53" spans="1:12" ht="25.5">
      <c r="A53" s="35" t="s">
        <v>2</v>
      </c>
      <c r="B53" s="16" t="s">
        <v>3</v>
      </c>
      <c r="C53" s="95">
        <v>78065.47306</v>
      </c>
      <c r="D53" s="95">
        <v>17086</v>
      </c>
      <c r="E53" s="82">
        <f>20086000/1000</f>
        <v>20086</v>
      </c>
      <c r="F53" s="82">
        <f>15766336.75/1000</f>
        <v>15766.33675</v>
      </c>
      <c r="G53" s="82">
        <v>20086</v>
      </c>
      <c r="H53" s="82">
        <v>19902.773577540585</v>
      </c>
      <c r="I53" s="76">
        <f t="shared" si="1"/>
        <v>99.08779038903009</v>
      </c>
      <c r="J53" s="82">
        <v>57389</v>
      </c>
      <c r="K53" s="82">
        <v>15695</v>
      </c>
      <c r="L53" s="82">
        <v>15553</v>
      </c>
    </row>
    <row r="54" spans="1:12" ht="15">
      <c r="A54" s="35" t="s">
        <v>96</v>
      </c>
      <c r="B54" s="16" t="s">
        <v>67</v>
      </c>
      <c r="C54" s="95">
        <v>0</v>
      </c>
      <c r="D54" s="95">
        <v>100000</v>
      </c>
      <c r="E54" s="82">
        <f>15262445/1000</f>
        <v>15262.445</v>
      </c>
      <c r="F54" s="82">
        <v>0</v>
      </c>
      <c r="G54" s="82">
        <v>130000</v>
      </c>
      <c r="H54" s="82">
        <v>109440.17794</v>
      </c>
      <c r="I54" s="76">
        <f t="shared" si="1"/>
        <v>84.18475226153845</v>
      </c>
      <c r="J54" s="82">
        <v>100000</v>
      </c>
      <c r="K54" s="82">
        <v>100000</v>
      </c>
      <c r="L54" s="82">
        <v>100000</v>
      </c>
    </row>
    <row r="55" spans="1:12" ht="15" customHeight="1">
      <c r="A55" s="35" t="s">
        <v>4</v>
      </c>
      <c r="B55" s="16" t="s">
        <v>6</v>
      </c>
      <c r="C55" s="95">
        <v>21204.142</v>
      </c>
      <c r="D55" s="95">
        <v>23051.3</v>
      </c>
      <c r="E55" s="82">
        <f>28849739/1000</f>
        <v>28849.739</v>
      </c>
      <c r="F55" s="82">
        <f>25267675/1000</f>
        <v>25267.675</v>
      </c>
      <c r="G55" s="82">
        <v>28849.739</v>
      </c>
      <c r="H55" s="82">
        <v>28586.568908102265</v>
      </c>
      <c r="I55" s="76">
        <f t="shared" si="1"/>
        <v>99.08779038903009</v>
      </c>
      <c r="J55" s="82">
        <v>32173.3</v>
      </c>
      <c r="K55" s="82">
        <v>22550.5</v>
      </c>
      <c r="L55" s="82">
        <v>22347.1</v>
      </c>
    </row>
    <row r="56" spans="1:12" ht="17.25" customHeight="1">
      <c r="A56" s="35" t="s">
        <v>5</v>
      </c>
      <c r="B56" s="16" t="s">
        <v>7</v>
      </c>
      <c r="C56" s="95">
        <v>958288.2170299999</v>
      </c>
      <c r="D56" s="95">
        <v>1910473.785</v>
      </c>
      <c r="E56" s="82">
        <f>1423362537.23/1000</f>
        <v>1423362.5372300001</v>
      </c>
      <c r="F56" s="82">
        <f>959255027.08/1000</f>
        <v>959255.02708</v>
      </c>
      <c r="G56" s="82">
        <v>1864765.52281</v>
      </c>
      <c r="H56" s="82">
        <v>1255189.22281</v>
      </c>
      <c r="I56" s="76">
        <f t="shared" si="1"/>
        <v>67.31083385317879</v>
      </c>
      <c r="J56" s="82">
        <v>1435167.64152</v>
      </c>
      <c r="K56" s="82">
        <v>1593102.4035699998</v>
      </c>
      <c r="L56" s="82">
        <v>2100977.8555199997</v>
      </c>
    </row>
    <row r="57" spans="1:12" s="50" customFormat="1" ht="15">
      <c r="A57" s="89" t="s">
        <v>172</v>
      </c>
      <c r="B57" s="22" t="s">
        <v>180</v>
      </c>
      <c r="C57" s="96">
        <v>13334</v>
      </c>
      <c r="D57" s="96">
        <f>D58</f>
        <v>14237.2</v>
      </c>
      <c r="E57" s="81">
        <f>E58</f>
        <v>16125.7</v>
      </c>
      <c r="F57" s="81">
        <f>F58</f>
        <v>12111.21981</v>
      </c>
      <c r="G57" s="81">
        <f>G58</f>
        <v>16125.7</v>
      </c>
      <c r="H57" s="81">
        <f>H58</f>
        <v>16125.7</v>
      </c>
      <c r="I57" s="76">
        <f t="shared" si="1"/>
        <v>100</v>
      </c>
      <c r="J57" s="81">
        <v>18171.5</v>
      </c>
      <c r="K57" s="81">
        <v>18171.4</v>
      </c>
      <c r="L57" s="81">
        <v>18171.4</v>
      </c>
    </row>
    <row r="58" spans="1:12" ht="25.5">
      <c r="A58" s="36" t="s">
        <v>173</v>
      </c>
      <c r="B58" s="21" t="s">
        <v>135</v>
      </c>
      <c r="C58" s="70">
        <v>13334</v>
      </c>
      <c r="D58" s="70">
        <v>14237.2</v>
      </c>
      <c r="E58" s="82">
        <f>16125700/1000</f>
        <v>16125.7</v>
      </c>
      <c r="F58" s="82">
        <f>12111219.81/1000</f>
        <v>12111.21981</v>
      </c>
      <c r="G58" s="82">
        <v>16125.7</v>
      </c>
      <c r="H58" s="82">
        <v>16125.7</v>
      </c>
      <c r="I58" s="76">
        <f t="shared" si="1"/>
        <v>100</v>
      </c>
      <c r="J58" s="82">
        <v>18171.5</v>
      </c>
      <c r="K58" s="82">
        <v>18171.4</v>
      </c>
      <c r="L58" s="82">
        <v>18171.4</v>
      </c>
    </row>
    <row r="59" spans="1:12" s="48" customFormat="1" ht="38.25">
      <c r="A59" s="89" t="s">
        <v>8</v>
      </c>
      <c r="B59" s="22" t="s">
        <v>181</v>
      </c>
      <c r="C59" s="96">
        <v>453791.51522</v>
      </c>
      <c r="D59" s="96">
        <f>D60+D61+D62+D64</f>
        <v>401219.5</v>
      </c>
      <c r="E59" s="81">
        <f>E60+E61+E62+E64+E63</f>
        <v>433700.80939999997</v>
      </c>
      <c r="F59" s="81">
        <f>F60+F61+F62+F64+F63</f>
        <v>320411.1349</v>
      </c>
      <c r="G59" s="81">
        <f>G60+G61+G62+G64+G63</f>
        <v>432200.80939999997</v>
      </c>
      <c r="H59" s="81">
        <f>H60+H61+H62+H64+H63</f>
        <v>428982.0731408969</v>
      </c>
      <c r="I59" s="76">
        <f t="shared" si="1"/>
        <v>99.25526834075775</v>
      </c>
      <c r="J59" s="81">
        <v>417384</v>
      </c>
      <c r="K59" s="81">
        <v>370434.8</v>
      </c>
      <c r="L59" s="81">
        <v>359640</v>
      </c>
    </row>
    <row r="60" spans="1:12" ht="15">
      <c r="A60" s="36" t="s">
        <v>176</v>
      </c>
      <c r="B60" s="21" t="s">
        <v>177</v>
      </c>
      <c r="C60" s="97">
        <v>66580.99515</v>
      </c>
      <c r="D60" s="97">
        <v>75415.5</v>
      </c>
      <c r="E60" s="82">
        <f>79203200/1000</f>
        <v>79203.2</v>
      </c>
      <c r="F60" s="82">
        <f>52098642.68/1000</f>
        <v>52098.64268</v>
      </c>
      <c r="G60" s="82">
        <v>79203.2</v>
      </c>
      <c r="H60" s="82">
        <f>79203.2</f>
        <v>79203.2</v>
      </c>
      <c r="I60" s="76">
        <f t="shared" si="1"/>
        <v>100</v>
      </c>
      <c r="J60" s="82">
        <v>77718.4</v>
      </c>
      <c r="K60" s="82">
        <v>69126.7</v>
      </c>
      <c r="L60" s="82">
        <v>61147.3</v>
      </c>
    </row>
    <row r="61" spans="1:12" ht="51">
      <c r="A61" s="36" t="s">
        <v>9</v>
      </c>
      <c r="B61" s="21" t="s">
        <v>136</v>
      </c>
      <c r="C61" s="97">
        <v>155434.65315</v>
      </c>
      <c r="D61" s="97">
        <v>125762</v>
      </c>
      <c r="E61" s="82">
        <f>142063557.55/1000</f>
        <v>142063.55755</v>
      </c>
      <c r="F61" s="82">
        <f>105895900.52/1000</f>
        <v>105895.90052</v>
      </c>
      <c r="G61" s="82">
        <v>141663.55755</v>
      </c>
      <c r="H61" s="82">
        <v>140371.28896278702</v>
      </c>
      <c r="I61" s="76">
        <f t="shared" si="1"/>
        <v>99.08779038903009</v>
      </c>
      <c r="J61" s="82">
        <v>130831.7</v>
      </c>
      <c r="K61" s="82">
        <v>116047.6</v>
      </c>
      <c r="L61" s="82">
        <v>115001.1</v>
      </c>
    </row>
    <row r="62" spans="1:12" ht="15">
      <c r="A62" s="36" t="s">
        <v>10</v>
      </c>
      <c r="B62" s="21" t="s">
        <v>128</v>
      </c>
      <c r="C62" s="97">
        <v>200267.54591999998</v>
      </c>
      <c r="D62" s="97">
        <v>200042</v>
      </c>
      <c r="E62" s="82">
        <f>201142000/1000</f>
        <v>201142</v>
      </c>
      <c r="F62" s="82">
        <f>151190639.85/1000</f>
        <v>151190.63985</v>
      </c>
      <c r="G62" s="82">
        <v>200042</v>
      </c>
      <c r="H62" s="82">
        <v>198217.19765002356</v>
      </c>
      <c r="I62" s="76">
        <f t="shared" si="1"/>
        <v>99.08779038903009</v>
      </c>
      <c r="J62" s="82">
        <v>208613.9</v>
      </c>
      <c r="K62" s="82">
        <v>185040.5</v>
      </c>
      <c r="L62" s="82">
        <v>183371.6</v>
      </c>
    </row>
    <row r="63" spans="1:12" ht="15">
      <c r="A63" s="36" t="s">
        <v>212</v>
      </c>
      <c r="B63" s="72" t="s">
        <v>213</v>
      </c>
      <c r="C63" s="97">
        <v>0</v>
      </c>
      <c r="D63" s="97">
        <v>0</v>
      </c>
      <c r="E63" s="82">
        <f>147100/1000</f>
        <v>147.1</v>
      </c>
      <c r="F63" s="82">
        <f>81000/1000</f>
        <v>81</v>
      </c>
      <c r="G63" s="82">
        <v>147.10000000000002</v>
      </c>
      <c r="H63" s="82">
        <v>147.10000000000002</v>
      </c>
      <c r="I63" s="76">
        <f t="shared" si="1"/>
        <v>100</v>
      </c>
      <c r="J63" s="82">
        <v>220</v>
      </c>
      <c r="K63" s="82">
        <v>220</v>
      </c>
      <c r="L63" s="82">
        <v>120</v>
      </c>
    </row>
    <row r="64" spans="1:12" ht="38.25">
      <c r="A64" s="36" t="s">
        <v>97</v>
      </c>
      <c r="B64" s="21" t="s">
        <v>88</v>
      </c>
      <c r="C64" s="97">
        <v>31508.321</v>
      </c>
      <c r="D64" s="97">
        <v>0</v>
      </c>
      <c r="E64" s="82">
        <f>11144951.85/1000</f>
        <v>11144.95185</v>
      </c>
      <c r="F64" s="82">
        <f>11144951.85/1000</f>
        <v>11144.95185</v>
      </c>
      <c r="G64" s="82">
        <v>11144.95185</v>
      </c>
      <c r="H64" s="82">
        <v>11043.28652808633</v>
      </c>
      <c r="I64" s="76">
        <f t="shared" si="1"/>
        <v>99.08779038903009</v>
      </c>
      <c r="J64" s="82">
        <v>0</v>
      </c>
      <c r="K64" s="82">
        <v>0</v>
      </c>
      <c r="L64" s="82">
        <v>0</v>
      </c>
    </row>
    <row r="65" spans="1:12" ht="15">
      <c r="A65" s="89" t="s">
        <v>11</v>
      </c>
      <c r="B65" s="22" t="s">
        <v>182</v>
      </c>
      <c r="C65" s="96">
        <v>5176318.50942</v>
      </c>
      <c r="D65" s="96">
        <f>SUM(D66:D74)</f>
        <v>4418938.05</v>
      </c>
      <c r="E65" s="81">
        <f>E66+E67+E68+E69+E70+E71+E72+E73+E74</f>
        <v>4052627.06086</v>
      </c>
      <c r="F65" s="81">
        <f>F66+F67+F68+F69+F70+F71+F72+F73+F74</f>
        <v>2885228.6179799996</v>
      </c>
      <c r="G65" s="81">
        <f>G66+G67+G68+G69+G70+G71+G72+G73+G74</f>
        <v>4540253.57928</v>
      </c>
      <c r="H65" s="81">
        <f>H66+H67+H68+H69+H70+H71+H72+H73+H74</f>
        <v>4513975.037590478</v>
      </c>
      <c r="I65" s="76">
        <f t="shared" si="1"/>
        <v>99.42120982384226</v>
      </c>
      <c r="J65" s="81">
        <v>3629602.25214</v>
      </c>
      <c r="K65" s="81">
        <v>3647415.33645</v>
      </c>
      <c r="L65" s="81">
        <v>3784904.38648</v>
      </c>
    </row>
    <row r="66" spans="1:12" s="50" customFormat="1" ht="15">
      <c r="A66" s="36" t="s">
        <v>12</v>
      </c>
      <c r="B66" s="21" t="s">
        <v>13</v>
      </c>
      <c r="C66" s="97">
        <v>144930.59032</v>
      </c>
      <c r="D66" s="97">
        <v>143550.2</v>
      </c>
      <c r="E66" s="82">
        <f>141452875.92/1000</f>
        <v>141452.87592</v>
      </c>
      <c r="F66" s="82">
        <f>102797505.58/1000</f>
        <v>102797.50558</v>
      </c>
      <c r="G66" s="82">
        <v>141452.87592000002</v>
      </c>
      <c r="H66" s="82">
        <v>141452.87592000002</v>
      </c>
      <c r="I66" s="76">
        <f t="shared" si="1"/>
        <v>100</v>
      </c>
      <c r="J66" s="82">
        <v>137892.9</v>
      </c>
      <c r="K66" s="82">
        <v>122310.96</v>
      </c>
      <c r="L66" s="82">
        <v>121207.82</v>
      </c>
    </row>
    <row r="67" spans="1:12" ht="15">
      <c r="A67" s="36" t="s">
        <v>14</v>
      </c>
      <c r="B67" s="21" t="s">
        <v>183</v>
      </c>
      <c r="C67" s="97">
        <v>791.79882</v>
      </c>
      <c r="D67" s="97">
        <v>800</v>
      </c>
      <c r="E67" s="82">
        <f>800000/1000</f>
        <v>800</v>
      </c>
      <c r="F67" s="82">
        <f>451947.31/1000</f>
        <v>451.94731</v>
      </c>
      <c r="G67" s="82">
        <v>800</v>
      </c>
      <c r="H67" s="82">
        <v>792.7023231122407</v>
      </c>
      <c r="I67" s="76">
        <f t="shared" si="1"/>
        <v>99.08779038903009</v>
      </c>
      <c r="J67" s="82">
        <v>800</v>
      </c>
      <c r="K67" s="82">
        <v>790.6</v>
      </c>
      <c r="L67" s="82">
        <v>703.2</v>
      </c>
    </row>
    <row r="68" spans="1:12" ht="15">
      <c r="A68" s="36" t="s">
        <v>15</v>
      </c>
      <c r="B68" s="21" t="s">
        <v>16</v>
      </c>
      <c r="C68" s="97">
        <v>1846773.3837599999</v>
      </c>
      <c r="D68" s="97">
        <v>1444981.5</v>
      </c>
      <c r="E68" s="82">
        <f>1149762745.14/1000</f>
        <v>1149762.74514</v>
      </c>
      <c r="F68" s="82">
        <f>1037997490.68/1000</f>
        <v>1037997.4906799999</v>
      </c>
      <c r="G68" s="82">
        <v>1657225.8451399999</v>
      </c>
      <c r="H68" s="82">
        <v>1657225.8451399999</v>
      </c>
      <c r="I68" s="76">
        <f t="shared" si="1"/>
        <v>100</v>
      </c>
      <c r="J68" s="82">
        <v>592077.196</v>
      </c>
      <c r="K68" s="82">
        <v>561758.8294500001</v>
      </c>
      <c r="L68" s="82">
        <v>536383.5574800001</v>
      </c>
    </row>
    <row r="69" spans="1:12" ht="15">
      <c r="A69" s="36" t="s">
        <v>17</v>
      </c>
      <c r="B69" s="21" t="s">
        <v>137</v>
      </c>
      <c r="C69" s="97">
        <v>46087.03494</v>
      </c>
      <c r="D69" s="97">
        <v>39248.85</v>
      </c>
      <c r="E69" s="82">
        <f>39248850/1000</f>
        <v>39248.85</v>
      </c>
      <c r="F69" s="82">
        <f>26082725.4/1000</f>
        <v>26082.7254</v>
      </c>
      <c r="G69" s="82">
        <v>39248.85</v>
      </c>
      <c r="H69" s="82">
        <v>38890.81821810483</v>
      </c>
      <c r="I69" s="76">
        <f t="shared" si="1"/>
        <v>99.08779038903009</v>
      </c>
      <c r="J69" s="82">
        <v>85436.49614</v>
      </c>
      <c r="K69" s="82">
        <v>68562.753</v>
      </c>
      <c r="L69" s="82">
        <v>125778.201</v>
      </c>
    </row>
    <row r="70" spans="1:12" ht="15">
      <c r="A70" s="36" t="s">
        <v>18</v>
      </c>
      <c r="B70" s="21" t="s">
        <v>19</v>
      </c>
      <c r="C70" s="97">
        <v>174341.40613</v>
      </c>
      <c r="D70" s="97">
        <v>195908</v>
      </c>
      <c r="E70" s="82">
        <f>207438000/1000</f>
        <v>207438</v>
      </c>
      <c r="F70" s="82">
        <f>119894552.38/1000</f>
        <v>119894.55238</v>
      </c>
      <c r="G70" s="82">
        <v>207438</v>
      </c>
      <c r="H70" s="82">
        <v>205545.73062719623</v>
      </c>
      <c r="I70" s="76">
        <f t="shared" si="1"/>
        <v>99.08779038903009</v>
      </c>
      <c r="J70" s="82">
        <v>198563</v>
      </c>
      <c r="K70" s="82">
        <v>200996.465</v>
      </c>
      <c r="L70" s="82">
        <v>207070.405</v>
      </c>
    </row>
    <row r="71" spans="1:12" ht="15">
      <c r="A71" s="36" t="s">
        <v>20</v>
      </c>
      <c r="B71" s="21" t="s">
        <v>21</v>
      </c>
      <c r="C71" s="97">
        <v>102900.98562</v>
      </c>
      <c r="D71" s="97">
        <v>48533</v>
      </c>
      <c r="E71" s="82">
        <f>70417600/1000</f>
        <v>70417.6</v>
      </c>
      <c r="F71" s="82">
        <f>33811789.19/1000</f>
        <v>33811.789189999996</v>
      </c>
      <c r="G71" s="82">
        <v>54117.6</v>
      </c>
      <c r="H71" s="82">
        <v>52750.25322627425</v>
      </c>
      <c r="I71" s="76">
        <f t="shared" si="1"/>
        <v>97.47337876453179</v>
      </c>
      <c r="J71" s="82">
        <v>78099</v>
      </c>
      <c r="K71" s="82">
        <v>69273.813</v>
      </c>
      <c r="L71" s="82">
        <v>68649.021</v>
      </c>
    </row>
    <row r="72" spans="1:12" ht="15">
      <c r="A72" s="36" t="s">
        <v>98</v>
      </c>
      <c r="B72" s="21" t="s">
        <v>138</v>
      </c>
      <c r="C72" s="97">
        <v>2045509.57952</v>
      </c>
      <c r="D72" s="97">
        <v>1935680.7</v>
      </c>
      <c r="E72" s="82">
        <f>2055722814/1000</f>
        <v>2055722.814</v>
      </c>
      <c r="F72" s="82">
        <f>1297129939.21/1000</f>
        <v>1297129.93921</v>
      </c>
      <c r="G72" s="82">
        <v>2055722.814</v>
      </c>
      <c r="H72" s="82">
        <v>2036970.3129157908</v>
      </c>
      <c r="I72" s="76">
        <f t="shared" si="1"/>
        <v>99.08779038903009</v>
      </c>
      <c r="J72" s="82">
        <v>2269461</v>
      </c>
      <c r="K72" s="82">
        <v>2407537.9</v>
      </c>
      <c r="L72" s="82">
        <v>2515179</v>
      </c>
    </row>
    <row r="73" spans="1:12" ht="15">
      <c r="A73" s="36" t="s">
        <v>168</v>
      </c>
      <c r="B73" s="21" t="s">
        <v>169</v>
      </c>
      <c r="C73" s="97">
        <v>124151.33327</v>
      </c>
      <c r="D73" s="97">
        <v>141994</v>
      </c>
      <c r="E73" s="82">
        <f>152884727.26/1000</f>
        <v>152884.72725999999</v>
      </c>
      <c r="F73" s="82">
        <f>113832925.96/1000</f>
        <v>113832.92596</v>
      </c>
      <c r="G73" s="82">
        <v>154084.72726</v>
      </c>
      <c r="H73" s="82">
        <v>154084.72726</v>
      </c>
      <c r="I73" s="76">
        <f t="shared" si="1"/>
        <v>100</v>
      </c>
      <c r="J73" s="82">
        <v>143013</v>
      </c>
      <c r="K73" s="82">
        <v>130520.1</v>
      </c>
      <c r="L73" s="82">
        <v>125708.6</v>
      </c>
    </row>
    <row r="74" spans="1:12" ht="25.5">
      <c r="A74" s="36" t="s">
        <v>92</v>
      </c>
      <c r="B74" s="21" t="s">
        <v>139</v>
      </c>
      <c r="C74" s="97">
        <v>690832.39704</v>
      </c>
      <c r="D74" s="97">
        <v>468241.8</v>
      </c>
      <c r="E74" s="82">
        <f>234899448.54/1000</f>
        <v>234899.44853999998</v>
      </c>
      <c r="F74" s="82">
        <f>153229742.27/1000</f>
        <v>153229.74227000002</v>
      </c>
      <c r="G74" s="82">
        <v>230162.86696</v>
      </c>
      <c r="H74" s="82">
        <f>230162.86696-3901.095</f>
        <v>226261.77196</v>
      </c>
      <c r="I74" s="76">
        <f t="shared" si="1"/>
        <v>98.3050719468671</v>
      </c>
      <c r="J74" s="82">
        <v>124259.66</v>
      </c>
      <c r="K74" s="82">
        <v>85663.916</v>
      </c>
      <c r="L74" s="82">
        <v>84224.582</v>
      </c>
    </row>
    <row r="75" spans="1:12" ht="25.5">
      <c r="A75" s="89" t="s">
        <v>45</v>
      </c>
      <c r="B75" s="22" t="s">
        <v>184</v>
      </c>
      <c r="C75" s="96">
        <v>969099.9204</v>
      </c>
      <c r="D75" s="96">
        <f>D76+D77+D78+D79</f>
        <v>1136066.87</v>
      </c>
      <c r="E75" s="81">
        <f>E76+E77+E78+E79</f>
        <v>1076390.2036700002</v>
      </c>
      <c r="F75" s="81">
        <f>F76+F77+F78+F79</f>
        <v>589343.84811</v>
      </c>
      <c r="G75" s="81">
        <f>G76+G77+G78+G79</f>
        <v>1073390.2036700002</v>
      </c>
      <c r="H75" s="81">
        <f>H76+H77+H78+H79</f>
        <v>1072284.0480777551</v>
      </c>
      <c r="I75" s="76">
        <f t="shared" si="1"/>
        <v>99.89694748578262</v>
      </c>
      <c r="J75" s="81">
        <v>933144.81739</v>
      </c>
      <c r="K75" s="81">
        <v>832190.0580399999</v>
      </c>
      <c r="L75" s="81">
        <v>851852.7563</v>
      </c>
    </row>
    <row r="76" spans="1:12" ht="15">
      <c r="A76" s="36" t="s">
        <v>47</v>
      </c>
      <c r="B76" s="21" t="s">
        <v>62</v>
      </c>
      <c r="C76" s="95">
        <v>708341.24878</v>
      </c>
      <c r="D76" s="95">
        <v>17849.8</v>
      </c>
      <c r="E76" s="82">
        <f>59055576.48/1000</f>
        <v>59055.576479999996</v>
      </c>
      <c r="F76" s="82">
        <f>33327490.61/1000</f>
        <v>33327.49061</v>
      </c>
      <c r="G76" s="82">
        <v>59055.576479999996</v>
      </c>
      <c r="H76" s="82">
        <v>58516.86583553575</v>
      </c>
      <c r="I76" s="76">
        <f t="shared" si="1"/>
        <v>99.08779038903009</v>
      </c>
      <c r="J76" s="82">
        <v>28427.6</v>
      </c>
      <c r="K76" s="82">
        <v>26927.8</v>
      </c>
      <c r="L76" s="82">
        <v>27705.7</v>
      </c>
    </row>
    <row r="77" spans="1:12" s="50" customFormat="1" ht="14.25" customHeight="1">
      <c r="A77" s="36" t="s">
        <v>22</v>
      </c>
      <c r="B77" s="21" t="s">
        <v>63</v>
      </c>
      <c r="C77" s="95">
        <v>59638.17904</v>
      </c>
      <c r="D77" s="95">
        <v>924206.17</v>
      </c>
      <c r="E77" s="82">
        <f>768073727.19/1000</f>
        <v>768073.72719</v>
      </c>
      <c r="F77" s="82">
        <f>488412374.49/1000</f>
        <v>488412.37449</v>
      </c>
      <c r="G77" s="82">
        <v>765073.72719</v>
      </c>
      <c r="H77" s="82">
        <v>765073.72719</v>
      </c>
      <c r="I77" s="76">
        <f t="shared" si="1"/>
        <v>100</v>
      </c>
      <c r="J77" s="82">
        <v>842749.71739</v>
      </c>
      <c r="K77" s="82">
        <v>750294.8130399999</v>
      </c>
      <c r="L77" s="82">
        <v>769675.0913</v>
      </c>
    </row>
    <row r="78" spans="1:12" s="50" customFormat="1" ht="14.25" customHeight="1">
      <c r="A78" s="36" t="s">
        <v>201</v>
      </c>
      <c r="B78" s="21" t="s">
        <v>199</v>
      </c>
      <c r="C78" s="95">
        <v>149891.28493</v>
      </c>
      <c r="D78" s="95">
        <v>149037.8</v>
      </c>
      <c r="E78" s="82">
        <f>204037800/1000</f>
        <v>204037.8</v>
      </c>
      <c r="F78" s="82">
        <f>34810102.96/1000</f>
        <v>34810.102960000004</v>
      </c>
      <c r="G78" s="82">
        <v>204037.8</v>
      </c>
      <c r="H78" s="82">
        <v>204037.8</v>
      </c>
      <c r="I78" s="76">
        <f t="shared" si="1"/>
        <v>100</v>
      </c>
      <c r="J78" s="82">
        <v>16970</v>
      </c>
      <c r="K78" s="82">
        <v>15052.4</v>
      </c>
      <c r="L78" s="82">
        <v>14916.7</v>
      </c>
    </row>
    <row r="79" spans="1:12" ht="25.5">
      <c r="A79" s="36" t="s">
        <v>99</v>
      </c>
      <c r="B79" s="21" t="s">
        <v>140</v>
      </c>
      <c r="C79" s="95">
        <v>51229.20765</v>
      </c>
      <c r="D79" s="95">
        <v>44973.1</v>
      </c>
      <c r="E79" s="82">
        <f>45223100/1000</f>
        <v>45223.1</v>
      </c>
      <c r="F79" s="82">
        <f>32793880.05/1000</f>
        <v>32793.88005</v>
      </c>
      <c r="G79" s="82">
        <v>45223.1</v>
      </c>
      <c r="H79" s="82">
        <v>44655.65505221932</v>
      </c>
      <c r="I79" s="76">
        <f t="shared" si="1"/>
        <v>98.74523208762629</v>
      </c>
      <c r="J79" s="82">
        <v>44997.5</v>
      </c>
      <c r="K79" s="82">
        <v>39915.045</v>
      </c>
      <c r="L79" s="82">
        <v>39555.265</v>
      </c>
    </row>
    <row r="80" spans="1:12" ht="15">
      <c r="A80" s="89" t="s">
        <v>46</v>
      </c>
      <c r="B80" s="22" t="s">
        <v>185</v>
      </c>
      <c r="C80" s="96">
        <v>40104.181119999994</v>
      </c>
      <c r="D80" s="96">
        <f>D81+D83+D82</f>
        <v>41214.7</v>
      </c>
      <c r="E80" s="81">
        <f>E81+E83+E82</f>
        <v>26707.442450000002</v>
      </c>
      <c r="F80" s="81">
        <f>F81+F83+F82</f>
        <v>18504.06557</v>
      </c>
      <c r="G80" s="81">
        <f>G81+G83+G82</f>
        <v>26707.442449999995</v>
      </c>
      <c r="H80" s="81">
        <f>H81+H83+H82</f>
        <v>26579.078662940163</v>
      </c>
      <c r="I80" s="76">
        <f aca="true" t="shared" si="9" ref="I80:I120">+H80/G80*100</f>
        <v>99.51937072484516</v>
      </c>
      <c r="J80" s="81">
        <v>44781.4</v>
      </c>
      <c r="K80" s="81">
        <v>34772.664</v>
      </c>
      <c r="L80" s="81">
        <v>34844.271</v>
      </c>
    </row>
    <row r="81" spans="1:12" ht="25.5">
      <c r="A81" s="36" t="s">
        <v>100</v>
      </c>
      <c r="B81" s="21" t="s">
        <v>101</v>
      </c>
      <c r="C81" s="95">
        <v>12219.74878</v>
      </c>
      <c r="D81" s="95">
        <v>2050</v>
      </c>
      <c r="E81" s="82">
        <f>12635700/1000</f>
        <v>12635.7</v>
      </c>
      <c r="F81" s="82">
        <f>9149762.96/1000</f>
        <v>9149.76296</v>
      </c>
      <c r="G81" s="82">
        <v>12635.7</v>
      </c>
      <c r="H81" s="82">
        <v>12635.7</v>
      </c>
      <c r="I81" s="76">
        <f t="shared" si="9"/>
        <v>100</v>
      </c>
      <c r="J81" s="82">
        <v>12606.1</v>
      </c>
      <c r="K81" s="82">
        <v>12688.3</v>
      </c>
      <c r="L81" s="82">
        <v>12958.7</v>
      </c>
    </row>
    <row r="82" spans="1:12" ht="25.5">
      <c r="A82" s="36" t="s">
        <v>206</v>
      </c>
      <c r="B82" s="21" t="s">
        <v>207</v>
      </c>
      <c r="C82" s="95">
        <v>43.1</v>
      </c>
      <c r="D82" s="97">
        <v>43</v>
      </c>
      <c r="E82" s="82">
        <f>43000/1000</f>
        <v>43</v>
      </c>
      <c r="F82" s="82">
        <f>43000/1000</f>
        <v>43</v>
      </c>
      <c r="G82" s="82">
        <v>43</v>
      </c>
      <c r="H82" s="82">
        <v>42.607749867282934</v>
      </c>
      <c r="I82" s="76">
        <f t="shared" si="9"/>
        <v>99.08779038903008</v>
      </c>
      <c r="J82" s="82">
        <v>43.3</v>
      </c>
      <c r="K82" s="82">
        <v>43.3</v>
      </c>
      <c r="L82" s="82">
        <v>43.3</v>
      </c>
    </row>
    <row r="83" spans="1:12" ht="29.25" customHeight="1">
      <c r="A83" s="36" t="s">
        <v>129</v>
      </c>
      <c r="B83" s="21" t="s">
        <v>141</v>
      </c>
      <c r="C83" s="95">
        <v>27841.33234</v>
      </c>
      <c r="D83" s="95">
        <v>39121.7</v>
      </c>
      <c r="E83" s="82">
        <f>14028742.45/1000</f>
        <v>14028.74245</v>
      </c>
      <c r="F83" s="82">
        <f>9311302.61/1000</f>
        <v>9311.302609999999</v>
      </c>
      <c r="G83" s="82">
        <v>14028.742449999996</v>
      </c>
      <c r="H83" s="82">
        <v>13900.77091307288</v>
      </c>
      <c r="I83" s="76">
        <f t="shared" si="9"/>
        <v>99.08779038903009</v>
      </c>
      <c r="J83" s="82">
        <v>32132</v>
      </c>
      <c r="K83" s="82">
        <v>22041.064</v>
      </c>
      <c r="L83" s="82">
        <v>21842.271</v>
      </c>
    </row>
    <row r="84" spans="1:12" s="50" customFormat="1" ht="15">
      <c r="A84" s="89" t="s">
        <v>48</v>
      </c>
      <c r="B84" s="22" t="s">
        <v>186</v>
      </c>
      <c r="C84" s="96">
        <v>5890175.303649999</v>
      </c>
      <c r="D84" s="96">
        <f>D85+D86+D87+D88+D89+D90+D91</f>
        <v>5685733.832079999</v>
      </c>
      <c r="E84" s="81">
        <f>E85+E86+E87+E88+E89+E90+E91</f>
        <v>5982106.160309999</v>
      </c>
      <c r="F84" s="81">
        <f>F85+F86+F87+F88+F89+F90+F91</f>
        <v>4765080.87387</v>
      </c>
      <c r="G84" s="81">
        <f>G85+G86+G87+G88+G89+G90+G91</f>
        <v>5976827.360309999</v>
      </c>
      <c r="H84" s="81">
        <f>H85+H86+H87+H88+H89+H90+H91</f>
        <v>5922796.82185709</v>
      </c>
      <c r="I84" s="76">
        <f t="shared" si="9"/>
        <v>99.09599968016967</v>
      </c>
      <c r="J84" s="81">
        <v>6380658.04417</v>
      </c>
      <c r="K84" s="81">
        <v>5727704.0762</v>
      </c>
      <c r="L84" s="81">
        <v>5301082.5874</v>
      </c>
    </row>
    <row r="85" spans="1:12" ht="15">
      <c r="A85" s="36" t="s">
        <v>155</v>
      </c>
      <c r="B85" s="21" t="s">
        <v>142</v>
      </c>
      <c r="C85" s="95">
        <v>1439173.882</v>
      </c>
      <c r="D85" s="95">
        <v>1383415.1</v>
      </c>
      <c r="E85" s="82">
        <f>1640074482.61/1000</f>
        <v>1640074.4826099998</v>
      </c>
      <c r="F85" s="82">
        <f>1192070216.28/1000</f>
        <v>1192070.21628</v>
      </c>
      <c r="G85" s="82">
        <v>1640074.48261</v>
      </c>
      <c r="H85" s="82">
        <v>1625113.5655525667</v>
      </c>
      <c r="I85" s="76">
        <f t="shared" si="9"/>
        <v>99.08779038903009</v>
      </c>
      <c r="J85" s="82">
        <v>1454015.7826099999</v>
      </c>
      <c r="K85" s="82">
        <v>1257100.3</v>
      </c>
      <c r="L85" s="82">
        <v>1245762.2</v>
      </c>
    </row>
    <row r="86" spans="1:12" ht="15">
      <c r="A86" s="36" t="s">
        <v>23</v>
      </c>
      <c r="B86" s="21" t="s">
        <v>64</v>
      </c>
      <c r="C86" s="95">
        <v>3212380.0895700003</v>
      </c>
      <c r="D86" s="95">
        <v>3188648.6</v>
      </c>
      <c r="E86" s="82">
        <f>3181749907.76/1000</f>
        <v>3181749.9077600003</v>
      </c>
      <c r="F86" s="82">
        <f>2617978163.18/1000</f>
        <v>2617978.1631799997</v>
      </c>
      <c r="G86" s="82">
        <v>3178653.91176</v>
      </c>
      <c r="H86" s="82">
        <v>3149657.9252774543</v>
      </c>
      <c r="I86" s="76">
        <f t="shared" si="9"/>
        <v>99.08779038903009</v>
      </c>
      <c r="J86" s="82">
        <v>3671613.72156</v>
      </c>
      <c r="K86" s="82">
        <v>3363046.22</v>
      </c>
      <c r="L86" s="82">
        <v>2968215.3</v>
      </c>
    </row>
    <row r="87" spans="1:12" ht="15">
      <c r="A87" s="36" t="s">
        <v>202</v>
      </c>
      <c r="B87" s="21" t="s">
        <v>200</v>
      </c>
      <c r="C87" s="95">
        <v>117743.72981</v>
      </c>
      <c r="D87" s="95">
        <v>110045.56956</v>
      </c>
      <c r="E87" s="82">
        <f>111891569.56/1000</f>
        <v>111891.56956</v>
      </c>
      <c r="F87" s="82">
        <f>94744772.43/1000</f>
        <v>94744.77243000001</v>
      </c>
      <c r="G87" s="82">
        <v>112691.56956</v>
      </c>
      <c r="H87" s="82">
        <v>111663.58623172084</v>
      </c>
      <c r="I87" s="76">
        <f t="shared" si="9"/>
        <v>99.08779038903009</v>
      </c>
      <c r="J87" s="82">
        <v>124493.99</v>
      </c>
      <c r="K87" s="82">
        <v>109936.6</v>
      </c>
      <c r="L87" s="82">
        <v>108940.5</v>
      </c>
    </row>
    <row r="88" spans="1:12" s="50" customFormat="1" ht="15">
      <c r="A88" s="36" t="s">
        <v>24</v>
      </c>
      <c r="B88" s="21" t="s">
        <v>143</v>
      </c>
      <c r="C88" s="95">
        <v>833591.73536</v>
      </c>
      <c r="D88" s="95">
        <v>780052.05652</v>
      </c>
      <c r="E88" s="82">
        <f>811536000/1000</f>
        <v>811536</v>
      </c>
      <c r="F88" s="82">
        <f>672070368.3/1000</f>
        <v>672070.3683</v>
      </c>
      <c r="G88" s="82">
        <v>809198.7</v>
      </c>
      <c r="H88" s="82">
        <v>801817.1116867564</v>
      </c>
      <c r="I88" s="76">
        <f t="shared" si="9"/>
        <v>99.08779038903009</v>
      </c>
      <c r="J88" s="82">
        <v>870981.9</v>
      </c>
      <c r="K88" s="82">
        <v>767061.842</v>
      </c>
      <c r="L88" s="82">
        <v>760188.107</v>
      </c>
    </row>
    <row r="89" spans="1:12" ht="13.5" customHeight="1">
      <c r="A89" s="36" t="s">
        <v>49</v>
      </c>
      <c r="B89" s="21" t="s">
        <v>102</v>
      </c>
      <c r="C89" s="95">
        <v>20204.692</v>
      </c>
      <c r="D89" s="95">
        <v>15563.606</v>
      </c>
      <c r="E89" s="82">
        <f>21359350.95/1000</f>
        <v>21359.35095</v>
      </c>
      <c r="F89" s="82">
        <f>17057622.63/1000</f>
        <v>17057.622629999998</v>
      </c>
      <c r="G89" s="82">
        <v>21359.35095</v>
      </c>
      <c r="H89" s="82">
        <v>21164.50889779331</v>
      </c>
      <c r="I89" s="76">
        <f t="shared" si="9"/>
        <v>99.08779038903009</v>
      </c>
      <c r="J89" s="82">
        <v>23802.51</v>
      </c>
      <c r="K89" s="82">
        <v>20688.247</v>
      </c>
      <c r="L89" s="82">
        <v>20501.591</v>
      </c>
    </row>
    <row r="90" spans="1:12" ht="15">
      <c r="A90" s="36" t="s">
        <v>50</v>
      </c>
      <c r="B90" s="21" t="s">
        <v>144</v>
      </c>
      <c r="C90" s="95">
        <v>57821.01972</v>
      </c>
      <c r="D90" s="95">
        <v>45539.6</v>
      </c>
      <c r="E90" s="82">
        <f>52398049.43/1000</f>
        <v>52398.04943</v>
      </c>
      <c r="F90" s="82">
        <f>44805937.76/1000</f>
        <v>44805.93776</v>
      </c>
      <c r="G90" s="82">
        <v>53787.54543</v>
      </c>
      <c r="H90" s="82">
        <v>53787.54543</v>
      </c>
      <c r="I90" s="76">
        <f t="shared" si="9"/>
        <v>100</v>
      </c>
      <c r="J90" s="82">
        <v>56003.8</v>
      </c>
      <c r="K90" s="82">
        <v>49675.406200000005</v>
      </c>
      <c r="L90" s="82">
        <v>49227.2524</v>
      </c>
    </row>
    <row r="91" spans="1:12" ht="15">
      <c r="A91" s="36" t="s">
        <v>68</v>
      </c>
      <c r="B91" s="21" t="s">
        <v>25</v>
      </c>
      <c r="C91" s="95">
        <v>209260.15519</v>
      </c>
      <c r="D91" s="95">
        <v>162469.3</v>
      </c>
      <c r="E91" s="82">
        <f>163096800/1000</f>
        <v>163096.8</v>
      </c>
      <c r="F91" s="82">
        <f>126353793.29/1000</f>
        <v>126353.79329</v>
      </c>
      <c r="G91" s="82">
        <v>161061.8</v>
      </c>
      <c r="H91" s="82">
        <v>159592.57878079885</v>
      </c>
      <c r="I91" s="76">
        <f t="shared" si="9"/>
        <v>99.08779038903009</v>
      </c>
      <c r="J91" s="82">
        <v>179746.34</v>
      </c>
      <c r="K91" s="82">
        <v>160195.461</v>
      </c>
      <c r="L91" s="82">
        <v>148247.637</v>
      </c>
    </row>
    <row r="92" spans="1:12" ht="15">
      <c r="A92" s="89" t="s">
        <v>51</v>
      </c>
      <c r="B92" s="22" t="s">
        <v>187</v>
      </c>
      <c r="C92" s="96">
        <v>799264.453</v>
      </c>
      <c r="D92" s="96">
        <f>D93+D94</f>
        <v>726151.62492</v>
      </c>
      <c r="E92" s="81">
        <f>E93+E94</f>
        <v>770505.9326299999</v>
      </c>
      <c r="F92" s="81">
        <f>F93+F94</f>
        <v>599908.27119</v>
      </c>
      <c r="G92" s="81">
        <f>G93+G94</f>
        <v>768059.13263</v>
      </c>
      <c r="H92" s="81">
        <f>H93+H94</f>
        <v>761052.823404217</v>
      </c>
      <c r="I92" s="76">
        <f t="shared" si="9"/>
        <v>99.08779038903009</v>
      </c>
      <c r="J92" s="81">
        <v>848290.99826</v>
      </c>
      <c r="K92" s="81">
        <v>629656.94308</v>
      </c>
      <c r="L92" s="81">
        <v>626766.2392999999</v>
      </c>
    </row>
    <row r="93" spans="1:12" ht="15">
      <c r="A93" s="36" t="s">
        <v>52</v>
      </c>
      <c r="B93" s="21" t="s">
        <v>145</v>
      </c>
      <c r="C93" s="95">
        <v>761973.09603</v>
      </c>
      <c r="D93" s="95">
        <v>692090.52492</v>
      </c>
      <c r="E93" s="82">
        <f>737393747.18/1000</f>
        <v>737393.74718</v>
      </c>
      <c r="F93" s="82">
        <f>575365506.86/1000</f>
        <v>575365.50686</v>
      </c>
      <c r="G93" s="82">
        <v>734946.94718</v>
      </c>
      <c r="H93" s="82">
        <v>728242.6904922941</v>
      </c>
      <c r="I93" s="76">
        <f t="shared" si="9"/>
        <v>99.08779038903009</v>
      </c>
      <c r="J93" s="82">
        <v>816419.19826</v>
      </c>
      <c r="K93" s="82">
        <v>601272.74308</v>
      </c>
      <c r="L93" s="82">
        <v>598632.2392999999</v>
      </c>
    </row>
    <row r="94" spans="1:12" ht="25.5">
      <c r="A94" s="36" t="s">
        <v>26</v>
      </c>
      <c r="B94" s="21" t="s">
        <v>146</v>
      </c>
      <c r="C94" s="95">
        <v>37291.35697</v>
      </c>
      <c r="D94" s="95">
        <v>34061.1</v>
      </c>
      <c r="E94" s="82">
        <f>33112185.45/1000</f>
        <v>33112.18545</v>
      </c>
      <c r="F94" s="82">
        <f>24542764.33/1000</f>
        <v>24542.764329999998</v>
      </c>
      <c r="G94" s="82">
        <v>33112.18545</v>
      </c>
      <c r="H94" s="82">
        <v>32810.13291192292</v>
      </c>
      <c r="I94" s="76">
        <f t="shared" si="9"/>
        <v>99.08779038903009</v>
      </c>
      <c r="J94" s="82">
        <v>31871.8</v>
      </c>
      <c r="K94" s="82">
        <v>28384.2</v>
      </c>
      <c r="L94" s="82">
        <v>28134</v>
      </c>
    </row>
    <row r="95" spans="1:12" ht="15">
      <c r="A95" s="89" t="s">
        <v>53</v>
      </c>
      <c r="B95" s="22" t="s">
        <v>188</v>
      </c>
      <c r="C95" s="96">
        <v>1423181.24327</v>
      </c>
      <c r="D95" s="96">
        <f>D96+D97+D99+D100</f>
        <v>830787.5</v>
      </c>
      <c r="E95" s="81">
        <f>E96+E97+E99+E100+E98</f>
        <v>1364712.32402</v>
      </c>
      <c r="F95" s="81">
        <f>F96+F97+F99+F100+F98</f>
        <v>961306.30621</v>
      </c>
      <c r="G95" s="81">
        <f>G96+G97+G99+G100+G98</f>
        <v>1362244.8040200002</v>
      </c>
      <c r="H95" s="81">
        <f>H96+H97+H99+H100+H98</f>
        <v>1362059.161154281</v>
      </c>
      <c r="I95" s="76">
        <f t="shared" si="9"/>
        <v>99.98637228307487</v>
      </c>
      <c r="J95" s="81">
        <v>1074220.17952</v>
      </c>
      <c r="K95" s="81">
        <v>1062592.66696</v>
      </c>
      <c r="L95" s="81">
        <v>1065261.3087</v>
      </c>
    </row>
    <row r="96" spans="1:12" s="50" customFormat="1" ht="15">
      <c r="A96" s="36" t="s">
        <v>71</v>
      </c>
      <c r="B96" s="21" t="s">
        <v>103</v>
      </c>
      <c r="C96" s="97">
        <v>674396.71634</v>
      </c>
      <c r="D96" s="97">
        <v>461484.99</v>
      </c>
      <c r="E96" s="82">
        <f>501254233/1000</f>
        <v>501254.233</v>
      </c>
      <c r="F96" s="82">
        <f>428822804.95/1000</f>
        <v>428822.80494999996</v>
      </c>
      <c r="G96" s="82">
        <v>505474.113</v>
      </c>
      <c r="H96" s="82">
        <v>505474.113</v>
      </c>
      <c r="I96" s="76">
        <f t="shared" si="9"/>
        <v>100</v>
      </c>
      <c r="J96" s="82">
        <v>679542.9795199999</v>
      </c>
      <c r="K96" s="82">
        <v>672972.5669600001</v>
      </c>
      <c r="L96" s="82">
        <v>675862.1087000001</v>
      </c>
    </row>
    <row r="97" spans="1:12" ht="15">
      <c r="A97" s="36" t="s">
        <v>54</v>
      </c>
      <c r="B97" s="21" t="s">
        <v>104</v>
      </c>
      <c r="C97" s="97">
        <v>421984.13808</v>
      </c>
      <c r="D97" s="97">
        <v>79641.81</v>
      </c>
      <c r="E97" s="82">
        <f>327177400.16/1000</f>
        <v>327177.40016</v>
      </c>
      <c r="F97" s="82">
        <f>150483000.79/1000</f>
        <v>150483.00079</v>
      </c>
      <c r="G97" s="82">
        <v>329286.80016</v>
      </c>
      <c r="H97" s="82">
        <v>329286.80016</v>
      </c>
      <c r="I97" s="76">
        <f t="shared" si="9"/>
        <v>100</v>
      </c>
      <c r="J97" s="82">
        <v>42726</v>
      </c>
      <c r="K97" s="82">
        <v>42726</v>
      </c>
      <c r="L97" s="82">
        <v>42726</v>
      </c>
    </row>
    <row r="98" spans="1:12" ht="15">
      <c r="A98" s="36" t="s">
        <v>209</v>
      </c>
      <c r="B98" s="72" t="s">
        <v>208</v>
      </c>
      <c r="C98" s="97">
        <v>0</v>
      </c>
      <c r="D98" s="97">
        <v>0</v>
      </c>
      <c r="E98" s="82">
        <f>65358500/1000</f>
        <v>65358.5</v>
      </c>
      <c r="F98" s="82">
        <f>46205168.22/1000</f>
        <v>46205.16822</v>
      </c>
      <c r="G98" s="82">
        <v>65358.5</v>
      </c>
      <c r="H98" s="82">
        <v>65358.5</v>
      </c>
      <c r="I98" s="76">
        <f t="shared" si="9"/>
        <v>100</v>
      </c>
      <c r="J98" s="82">
        <v>0</v>
      </c>
      <c r="K98" s="82">
        <v>0</v>
      </c>
      <c r="L98" s="82">
        <v>0</v>
      </c>
    </row>
    <row r="99" spans="1:12" s="50" customFormat="1" ht="38.25">
      <c r="A99" s="36" t="s">
        <v>105</v>
      </c>
      <c r="B99" s="21" t="s">
        <v>106</v>
      </c>
      <c r="C99" s="97">
        <v>23901.11809</v>
      </c>
      <c r="D99" s="97">
        <v>22465</v>
      </c>
      <c r="E99" s="82">
        <f>22029500/1000</f>
        <v>22029.5</v>
      </c>
      <c r="F99" s="82">
        <f>16560757/1000</f>
        <v>16560.757</v>
      </c>
      <c r="G99" s="82">
        <v>20350.9</v>
      </c>
      <c r="H99" s="82">
        <v>20165.257134281124</v>
      </c>
      <c r="I99" s="76">
        <f t="shared" si="9"/>
        <v>99.08779038903009</v>
      </c>
      <c r="J99" s="82">
        <v>40861</v>
      </c>
      <c r="K99" s="82">
        <v>40861</v>
      </c>
      <c r="L99" s="82">
        <v>40861</v>
      </c>
    </row>
    <row r="100" spans="1:12" ht="15">
      <c r="A100" s="36" t="s">
        <v>156</v>
      </c>
      <c r="B100" s="21" t="s">
        <v>147</v>
      </c>
      <c r="C100" s="97">
        <v>302899.27076</v>
      </c>
      <c r="D100" s="97">
        <v>267195.7</v>
      </c>
      <c r="E100" s="82">
        <f>448892690.86/1000</f>
        <v>448892.69086000003</v>
      </c>
      <c r="F100" s="82">
        <f>319234575.25/1000</f>
        <v>319234.57525</v>
      </c>
      <c r="G100" s="82">
        <v>441774.49086</v>
      </c>
      <c r="H100" s="82">
        <v>441774.49086</v>
      </c>
      <c r="I100" s="76">
        <f t="shared" si="9"/>
        <v>100</v>
      </c>
      <c r="J100" s="82">
        <v>311090.2</v>
      </c>
      <c r="K100" s="82">
        <v>306033.1</v>
      </c>
      <c r="L100" s="82">
        <v>305812.2</v>
      </c>
    </row>
    <row r="101" spans="1:12" ht="15">
      <c r="A101" s="89" t="s">
        <v>55</v>
      </c>
      <c r="B101" s="22" t="s">
        <v>189</v>
      </c>
      <c r="C101" s="96">
        <v>7319160.61455</v>
      </c>
      <c r="D101" s="96">
        <f>D102+D103+D104+D105+D106</f>
        <v>7522325.953000002</v>
      </c>
      <c r="E101" s="81">
        <f>E102+E103+E104+E105+E106</f>
        <v>7698877.91497</v>
      </c>
      <c r="F101" s="81">
        <f>F102+F103+F104+F105+F106</f>
        <v>5596895.868880001</v>
      </c>
      <c r="G101" s="81">
        <f>G102+G103+G104+G105+G106</f>
        <v>7696534.71497</v>
      </c>
      <c r="H101" s="81">
        <f>H102+H103+H104+H105+H106</f>
        <v>7689237.808334066</v>
      </c>
      <c r="I101" s="76">
        <f t="shared" si="9"/>
        <v>99.90519231178492</v>
      </c>
      <c r="J101" s="81">
        <v>7821112.645</v>
      </c>
      <c r="K101" s="81">
        <v>7473760.582</v>
      </c>
      <c r="L101" s="81">
        <v>7482329.936</v>
      </c>
    </row>
    <row r="102" spans="1:12" ht="15">
      <c r="A102" s="36" t="s">
        <v>56</v>
      </c>
      <c r="B102" s="21" t="s">
        <v>27</v>
      </c>
      <c r="C102" s="95">
        <v>101583.00073</v>
      </c>
      <c r="D102" s="95">
        <v>101003</v>
      </c>
      <c r="E102" s="82">
        <f>101003000/1000</f>
        <v>101003</v>
      </c>
      <c r="F102" s="82">
        <f>73803710.01/1000</f>
        <v>73803.71001000001</v>
      </c>
      <c r="G102" s="82">
        <v>101003</v>
      </c>
      <c r="H102" s="82">
        <v>101003</v>
      </c>
      <c r="I102" s="76">
        <f t="shared" si="9"/>
        <v>100</v>
      </c>
      <c r="J102" s="82">
        <v>106763</v>
      </c>
      <c r="K102" s="82">
        <v>94698.781</v>
      </c>
      <c r="L102" s="82">
        <v>93844.677</v>
      </c>
    </row>
    <row r="103" spans="1:12" ht="15">
      <c r="A103" s="36" t="s">
        <v>57</v>
      </c>
      <c r="B103" s="21" t="s">
        <v>28</v>
      </c>
      <c r="C103" s="95">
        <v>616811.99811</v>
      </c>
      <c r="D103" s="95">
        <v>559293.4</v>
      </c>
      <c r="E103" s="82">
        <f>645464900/1000</f>
        <v>645464.9</v>
      </c>
      <c r="F103" s="82">
        <f>530534314.11/1000</f>
        <v>530534.31411</v>
      </c>
      <c r="G103" s="82">
        <v>645321.7000000001</v>
      </c>
      <c r="H103" s="82">
        <v>639435.0134309257</v>
      </c>
      <c r="I103" s="76">
        <f t="shared" si="9"/>
        <v>99.08779038903009</v>
      </c>
      <c r="J103" s="82">
        <v>729201.2</v>
      </c>
      <c r="K103" s="82">
        <v>646801.464</v>
      </c>
      <c r="L103" s="82">
        <v>640967.855</v>
      </c>
    </row>
    <row r="104" spans="1:12" ht="15">
      <c r="A104" s="36" t="s">
        <v>29</v>
      </c>
      <c r="B104" s="21" t="s">
        <v>179</v>
      </c>
      <c r="C104" s="95">
        <v>5579292.13566</v>
      </c>
      <c r="D104" s="95">
        <v>5596505.11</v>
      </c>
      <c r="E104" s="82">
        <f>5526521374.83/1000</f>
        <v>5526521.37483</v>
      </c>
      <c r="F104" s="82">
        <f>4062808394.42/1000</f>
        <v>4062808.3944200003</v>
      </c>
      <c r="G104" s="82">
        <v>5526021.37483</v>
      </c>
      <c r="H104" s="82">
        <v>5526021.37483</v>
      </c>
      <c r="I104" s="76">
        <f t="shared" si="9"/>
        <v>100</v>
      </c>
      <c r="J104" s="82">
        <v>5576731.61</v>
      </c>
      <c r="K104" s="82">
        <v>5306196.558</v>
      </c>
      <c r="L104" s="82">
        <v>5303940.861</v>
      </c>
    </row>
    <row r="105" spans="1:12" ht="18" customHeight="1">
      <c r="A105" s="36" t="s">
        <v>58</v>
      </c>
      <c r="B105" s="21" t="s">
        <v>107</v>
      </c>
      <c r="C105" s="95">
        <v>856974.72137</v>
      </c>
      <c r="D105" s="95">
        <v>1110369.043</v>
      </c>
      <c r="E105" s="82">
        <f>1271294778.17/1000</f>
        <v>1271294.77817</v>
      </c>
      <c r="F105" s="82">
        <f>820047772.2/1000</f>
        <v>820047.7722</v>
      </c>
      <c r="G105" s="82">
        <v>1269594.77817</v>
      </c>
      <c r="H105" s="82">
        <v>1269594.77817</v>
      </c>
      <c r="I105" s="76">
        <f t="shared" si="9"/>
        <v>100</v>
      </c>
      <c r="J105" s="82">
        <v>1242426.495</v>
      </c>
      <c r="K105" s="82">
        <v>1280233.913</v>
      </c>
      <c r="L105" s="82">
        <v>1299061.921</v>
      </c>
    </row>
    <row r="106" spans="1:12" s="50" customFormat="1" ht="15" customHeight="1">
      <c r="A106" s="36" t="s">
        <v>157</v>
      </c>
      <c r="B106" s="21" t="s">
        <v>148</v>
      </c>
      <c r="C106" s="95">
        <v>164498.75868</v>
      </c>
      <c r="D106" s="95">
        <v>155155.4</v>
      </c>
      <c r="E106" s="82">
        <f>154593861.97/1000</f>
        <v>154593.86197</v>
      </c>
      <c r="F106" s="82">
        <f>109701678.14/1000</f>
        <v>109701.67814</v>
      </c>
      <c r="G106" s="82">
        <v>154593.86197</v>
      </c>
      <c r="H106" s="82">
        <v>153183.6419031401</v>
      </c>
      <c r="I106" s="76">
        <f t="shared" si="9"/>
        <v>99.08779038903009</v>
      </c>
      <c r="J106" s="82">
        <v>165990.34</v>
      </c>
      <c r="K106" s="82">
        <v>145829.866</v>
      </c>
      <c r="L106" s="82">
        <v>144514.622</v>
      </c>
    </row>
    <row r="107" spans="1:12" ht="15">
      <c r="A107" s="89" t="s">
        <v>59</v>
      </c>
      <c r="B107" s="22" t="s">
        <v>190</v>
      </c>
      <c r="C107" s="96">
        <v>566033.23278</v>
      </c>
      <c r="D107" s="96">
        <f>D108+D109+D110</f>
        <v>314837.185</v>
      </c>
      <c r="E107" s="81">
        <f>E108+E109+E110</f>
        <v>339364.36342999997</v>
      </c>
      <c r="F107" s="81">
        <f>F108+F109+F110</f>
        <v>262383.16258999996</v>
      </c>
      <c r="G107" s="81">
        <f>G108+G109+G110</f>
        <v>337970.24843</v>
      </c>
      <c r="H107" s="81">
        <f>H108+H109+H110</f>
        <v>337335.55625835387</v>
      </c>
      <c r="I107" s="76">
        <f t="shared" si="9"/>
        <v>99.81220472080176</v>
      </c>
      <c r="J107" s="81">
        <v>408286.722</v>
      </c>
      <c r="K107" s="81">
        <v>320018.2123</v>
      </c>
      <c r="L107" s="81">
        <v>313962.6575</v>
      </c>
    </row>
    <row r="108" spans="1:12" ht="15" customHeight="1">
      <c r="A108" s="36" t="s">
        <v>60</v>
      </c>
      <c r="B108" s="21" t="s">
        <v>149</v>
      </c>
      <c r="C108" s="95">
        <v>308983.72939</v>
      </c>
      <c r="D108" s="95">
        <v>263730</v>
      </c>
      <c r="E108" s="82">
        <f>269786915/1000</f>
        <v>269786.915</v>
      </c>
      <c r="F108" s="82">
        <f>204283606.69/1000</f>
        <v>204283.60669</v>
      </c>
      <c r="G108" s="82">
        <v>268392.8</v>
      </c>
      <c r="H108" s="82">
        <v>268392.8</v>
      </c>
      <c r="I108" s="76">
        <f t="shared" si="9"/>
        <v>100</v>
      </c>
      <c r="J108" s="82">
        <v>369979.722</v>
      </c>
      <c r="K108" s="82">
        <v>288822.0713</v>
      </c>
      <c r="L108" s="82">
        <v>283038.8605</v>
      </c>
    </row>
    <row r="109" spans="1:12" ht="15">
      <c r="A109" s="36" t="s">
        <v>61</v>
      </c>
      <c r="B109" s="21" t="s">
        <v>150</v>
      </c>
      <c r="C109" s="95">
        <v>235743.6344</v>
      </c>
      <c r="D109" s="95">
        <v>28996.185</v>
      </c>
      <c r="E109" s="82">
        <f>37957997.86/1000</f>
        <v>37957.997859999996</v>
      </c>
      <c r="F109" s="82">
        <f>36018451.19/1000</f>
        <v>36018.45119</v>
      </c>
      <c r="G109" s="82">
        <v>37957.99786</v>
      </c>
      <c r="H109" s="82">
        <v>37611.74135538933</v>
      </c>
      <c r="I109" s="76">
        <f t="shared" si="9"/>
        <v>99.08779038903009</v>
      </c>
      <c r="J109" s="82">
        <v>5664</v>
      </c>
      <c r="K109" s="82">
        <v>2241.8</v>
      </c>
      <c r="L109" s="82">
        <v>2230.6</v>
      </c>
    </row>
    <row r="110" spans="1:12" ht="25.5">
      <c r="A110" s="36" t="s">
        <v>108</v>
      </c>
      <c r="B110" s="21" t="s">
        <v>151</v>
      </c>
      <c r="C110" s="95">
        <v>21305.86899</v>
      </c>
      <c r="D110" s="95">
        <v>22111</v>
      </c>
      <c r="E110" s="82">
        <f>31619450.57/1000</f>
        <v>31619.45057</v>
      </c>
      <c r="F110" s="82">
        <f>22081104.71/1000</f>
        <v>22081.10471</v>
      </c>
      <c r="G110" s="82">
        <v>31619.45057</v>
      </c>
      <c r="H110" s="82">
        <v>31331.014902964576</v>
      </c>
      <c r="I110" s="76">
        <f t="shared" si="9"/>
        <v>99.08779038903008</v>
      </c>
      <c r="J110" s="82">
        <v>32643</v>
      </c>
      <c r="K110" s="82">
        <v>28954.341</v>
      </c>
      <c r="L110" s="82">
        <v>28693.197</v>
      </c>
    </row>
    <row r="111" spans="1:12" ht="15.75" customHeight="1">
      <c r="A111" s="89" t="s">
        <v>158</v>
      </c>
      <c r="B111" s="22" t="s">
        <v>191</v>
      </c>
      <c r="C111" s="96">
        <v>65845.99995</v>
      </c>
      <c r="D111" s="96">
        <f>D112+D113</f>
        <v>64001</v>
      </c>
      <c r="E111" s="81">
        <f>E112+E113</f>
        <v>73043.5</v>
      </c>
      <c r="F111" s="81">
        <f>F112+F113</f>
        <v>50050.771210000006</v>
      </c>
      <c r="G111" s="81">
        <f>G112+G113</f>
        <v>73043.5</v>
      </c>
      <c r="H111" s="81">
        <f>H112+H113</f>
        <v>72377.19017281118</v>
      </c>
      <c r="I111" s="76">
        <f t="shared" si="9"/>
        <v>99.08779038903008</v>
      </c>
      <c r="J111" s="81">
        <v>93225.4</v>
      </c>
      <c r="K111" s="81">
        <v>70716.42940000001</v>
      </c>
      <c r="L111" s="81">
        <v>70078.6258</v>
      </c>
    </row>
    <row r="112" spans="1:12" s="50" customFormat="1" ht="15">
      <c r="A112" s="36" t="s">
        <v>159</v>
      </c>
      <c r="B112" s="21" t="s">
        <v>65</v>
      </c>
      <c r="C112" s="95">
        <v>30388.3</v>
      </c>
      <c r="D112" s="95">
        <v>30845</v>
      </c>
      <c r="E112" s="82">
        <f>39344000/1000</f>
        <v>39344</v>
      </c>
      <c r="F112" s="82">
        <f>28270733.6/1000</f>
        <v>28270.733600000003</v>
      </c>
      <c r="G112" s="82">
        <v>39444</v>
      </c>
      <c r="H112" s="82">
        <v>39084.18804104903</v>
      </c>
      <c r="I112" s="76">
        <f t="shared" si="9"/>
        <v>99.08779038903009</v>
      </c>
      <c r="J112" s="82">
        <v>49125.4</v>
      </c>
      <c r="K112" s="82">
        <v>40913.229799999994</v>
      </c>
      <c r="L112" s="82">
        <v>40544.2266</v>
      </c>
    </row>
    <row r="113" spans="1:12" ht="15">
      <c r="A113" s="36" t="s">
        <v>160</v>
      </c>
      <c r="B113" s="21" t="s">
        <v>66</v>
      </c>
      <c r="C113" s="95">
        <v>35457.69995</v>
      </c>
      <c r="D113" s="95">
        <v>33156</v>
      </c>
      <c r="E113" s="82">
        <f>33699500/1000</f>
        <v>33699.5</v>
      </c>
      <c r="F113" s="82">
        <f>21780037.61/1000</f>
        <v>21780.03761</v>
      </c>
      <c r="G113" s="82">
        <v>33599.5</v>
      </c>
      <c r="H113" s="82">
        <v>33293.002131762165</v>
      </c>
      <c r="I113" s="76">
        <f t="shared" si="9"/>
        <v>99.08779038903009</v>
      </c>
      <c r="J113" s="82">
        <v>44100</v>
      </c>
      <c r="K113" s="82">
        <v>29803.1996</v>
      </c>
      <c r="L113" s="82">
        <v>29534.3992</v>
      </c>
    </row>
    <row r="114" spans="1:12" ht="38.25">
      <c r="A114" s="89" t="s">
        <v>161</v>
      </c>
      <c r="B114" s="22" t="s">
        <v>192</v>
      </c>
      <c r="C114" s="96">
        <v>1032567.38515</v>
      </c>
      <c r="D114" s="96">
        <f>D115</f>
        <v>894395</v>
      </c>
      <c r="E114" s="81">
        <f>E115</f>
        <v>894460.08204</v>
      </c>
      <c r="F114" s="81">
        <f>F115</f>
        <v>466539.02102</v>
      </c>
      <c r="G114" s="81">
        <f>G115</f>
        <v>634460.08204</v>
      </c>
      <c r="H114" s="81">
        <f>H115</f>
        <v>634460.08204</v>
      </c>
      <c r="I114" s="76">
        <f t="shared" si="9"/>
        <v>100</v>
      </c>
      <c r="J114" s="81">
        <v>778033.6</v>
      </c>
      <c r="K114" s="81">
        <v>778033.6</v>
      </c>
      <c r="L114" s="81">
        <v>778033.6</v>
      </c>
    </row>
    <row r="115" spans="1:12" ht="30" customHeight="1">
      <c r="A115" s="36" t="s">
        <v>162</v>
      </c>
      <c r="B115" s="21" t="s">
        <v>152</v>
      </c>
      <c r="C115" s="70">
        <v>1032567.38515</v>
      </c>
      <c r="D115" s="70">
        <v>894395</v>
      </c>
      <c r="E115" s="82">
        <f>894460082.04/1000</f>
        <v>894460.08204</v>
      </c>
      <c r="F115" s="82">
        <f>466539021.02/1000</f>
        <v>466539.02102</v>
      </c>
      <c r="G115" s="82">
        <v>634460.08204</v>
      </c>
      <c r="H115" s="82">
        <v>634460.08204</v>
      </c>
      <c r="I115" s="76">
        <f t="shared" si="9"/>
        <v>100</v>
      </c>
      <c r="J115" s="82">
        <v>778033.6</v>
      </c>
      <c r="K115" s="82">
        <v>778033.6</v>
      </c>
      <c r="L115" s="82">
        <v>778033.6</v>
      </c>
    </row>
    <row r="116" spans="1:12" s="48" customFormat="1" ht="15.75" customHeight="1">
      <c r="A116" s="89" t="s">
        <v>163</v>
      </c>
      <c r="B116" s="22" t="s">
        <v>193</v>
      </c>
      <c r="C116" s="96">
        <v>1484276.75653</v>
      </c>
      <c r="D116" s="96">
        <f>D117+D118+D119</f>
        <v>459623</v>
      </c>
      <c r="E116" s="81">
        <f>E117+E118+E119</f>
        <v>1471814.87232</v>
      </c>
      <c r="F116" s="81">
        <f>F117+F118+F119</f>
        <v>1287663.98559</v>
      </c>
      <c r="G116" s="81">
        <f>G117+G118+G119</f>
        <v>1396057.75232</v>
      </c>
      <c r="H116" s="81">
        <f>H117+H118+H119</f>
        <v>1383322.7793286466</v>
      </c>
      <c r="I116" s="76">
        <f t="shared" si="9"/>
        <v>99.0877903890301</v>
      </c>
      <c r="J116" s="81">
        <v>1069718.1</v>
      </c>
      <c r="K116" s="81">
        <v>732494.3</v>
      </c>
      <c r="L116" s="81">
        <v>732494.3</v>
      </c>
    </row>
    <row r="117" spans="1:12" ht="38.25">
      <c r="A117" s="36" t="s">
        <v>164</v>
      </c>
      <c r="B117" s="21" t="s">
        <v>153</v>
      </c>
      <c r="C117" s="2">
        <v>177019.8</v>
      </c>
      <c r="D117" s="95">
        <v>339250.7</v>
      </c>
      <c r="E117" s="82">
        <f>339250700/1000</f>
        <v>339250.7</v>
      </c>
      <c r="F117" s="82">
        <f>321260074/1000</f>
        <v>321260.074</v>
      </c>
      <c r="G117" s="82">
        <v>339250.7</v>
      </c>
      <c r="H117" s="82">
        <v>336156.0225093173</v>
      </c>
      <c r="I117" s="76">
        <f t="shared" si="9"/>
        <v>99.08779038903009</v>
      </c>
      <c r="J117" s="82">
        <v>809362.5</v>
      </c>
      <c r="K117" s="82">
        <v>647744.8</v>
      </c>
      <c r="L117" s="82">
        <v>647744.8</v>
      </c>
    </row>
    <row r="118" spans="1:12" ht="15.75" customHeight="1">
      <c r="A118" s="36" t="s">
        <v>165</v>
      </c>
      <c r="B118" s="21" t="s">
        <v>154</v>
      </c>
      <c r="C118" s="95">
        <v>1095652.3816300002</v>
      </c>
      <c r="D118" s="95">
        <v>36150.1</v>
      </c>
      <c r="E118" s="82">
        <f>972384852.32/1000</f>
        <v>972384.8523200001</v>
      </c>
      <c r="F118" s="82">
        <f>872741777.01/1000</f>
        <v>872741.77701</v>
      </c>
      <c r="G118" s="82">
        <v>972634.8523200001</v>
      </c>
      <c r="H118" s="82">
        <v>963762.3837174941</v>
      </c>
      <c r="I118" s="76">
        <f t="shared" si="9"/>
        <v>99.08779038903009</v>
      </c>
      <c r="J118" s="82">
        <v>154418.7</v>
      </c>
      <c r="K118" s="82">
        <v>0</v>
      </c>
      <c r="L118" s="82">
        <v>0</v>
      </c>
    </row>
    <row r="119" spans="1:12" s="48" customFormat="1" ht="25.5">
      <c r="A119" s="36" t="s">
        <v>170</v>
      </c>
      <c r="B119" s="21" t="s">
        <v>171</v>
      </c>
      <c r="C119" s="95">
        <v>211604.5749</v>
      </c>
      <c r="D119" s="70">
        <v>84222.2</v>
      </c>
      <c r="E119" s="82">
        <f>160179320/1000</f>
        <v>160179.32</v>
      </c>
      <c r="F119" s="82">
        <f>93662134.58/1000</f>
        <v>93662.13458</v>
      </c>
      <c r="G119" s="82">
        <v>84172.2</v>
      </c>
      <c r="H119" s="82">
        <v>83404.37310183517</v>
      </c>
      <c r="I119" s="76">
        <f t="shared" si="9"/>
        <v>99.08779038903008</v>
      </c>
      <c r="J119" s="82">
        <v>105936.9</v>
      </c>
      <c r="K119" s="82">
        <v>84749.5</v>
      </c>
      <c r="L119" s="82">
        <v>84749.5</v>
      </c>
    </row>
    <row r="120" spans="1:12" ht="15">
      <c r="A120" s="35"/>
      <c r="B120" s="22" t="s">
        <v>194</v>
      </c>
      <c r="C120" s="96">
        <f aca="true" t="shared" si="10" ref="C120:H120">C47+C57+C59+C65+C75+C80+C84+C92+C95+C101+C107+C111+C114+C116</f>
        <v>26652109.386159994</v>
      </c>
      <c r="D120" s="96">
        <f t="shared" si="10"/>
        <v>24900036.8</v>
      </c>
      <c r="E120" s="81">
        <f t="shared" si="10"/>
        <v>26038988.283200003</v>
      </c>
      <c r="F120" s="81">
        <f t="shared" si="10"/>
        <v>19063518.79681</v>
      </c>
      <c r="G120" s="81">
        <f t="shared" si="10"/>
        <v>26728795.3832</v>
      </c>
      <c r="H120" s="81">
        <f t="shared" si="10"/>
        <v>25982574.02356</v>
      </c>
      <c r="I120" s="76">
        <f t="shared" si="9"/>
        <v>97.20817437171513</v>
      </c>
      <c r="J120" s="81">
        <f>J47+J57+J59+J65+J75+J80+J84+J92+J95+J101+J107+J111+J114+J116</f>
        <v>25488598.400000002</v>
      </c>
      <c r="K120" s="81">
        <f>K47+K57+K59+K65+K75+K80+K84+K92+K95+K101+K107+K111+K114+K116</f>
        <v>23737808.100000005</v>
      </c>
      <c r="L120" s="81">
        <f>L47+L57+L59+L65+L75+L80+L84+L92+L95+L101+L107+L111+L114+L116</f>
        <v>23964068.7</v>
      </c>
    </row>
    <row r="121" spans="1:12" s="48" customFormat="1" ht="14.25">
      <c r="A121" s="34"/>
      <c r="B121" s="22" t="s">
        <v>195</v>
      </c>
      <c r="C121" s="76">
        <f aca="true" t="shared" si="11" ref="C121:H121">C45-C120</f>
        <v>70567.6986800097</v>
      </c>
      <c r="D121" s="76">
        <f t="shared" si="11"/>
        <v>0</v>
      </c>
      <c r="E121" s="80">
        <f t="shared" si="11"/>
        <v>-120107.19604000449</v>
      </c>
      <c r="F121" s="80">
        <f t="shared" si="11"/>
        <v>-783448.6532500014</v>
      </c>
      <c r="G121" s="80">
        <f t="shared" si="11"/>
        <v>-120107.19604000077</v>
      </c>
      <c r="H121" s="80">
        <f t="shared" si="11"/>
        <v>-120107.19604000077</v>
      </c>
      <c r="I121" s="80"/>
      <c r="J121" s="80">
        <f>J45-J120</f>
        <v>0</v>
      </c>
      <c r="K121" s="80">
        <f>K45-K120</f>
        <v>0</v>
      </c>
      <c r="L121" s="80">
        <f>L45-L120</f>
        <v>0</v>
      </c>
    </row>
    <row r="122" spans="1:12" s="52" customFormat="1" ht="26.25" customHeight="1">
      <c r="A122" s="37"/>
      <c r="B122" s="23"/>
      <c r="C122" s="23"/>
      <c r="D122" s="51"/>
      <c r="E122" s="67"/>
      <c r="F122" s="67"/>
      <c r="G122" s="67"/>
      <c r="H122" s="88"/>
      <c r="I122" s="64"/>
      <c r="J122" s="41"/>
      <c r="K122" s="41"/>
      <c r="L122" s="41"/>
    </row>
    <row r="123" spans="1:12" s="54" customFormat="1" ht="25.5" customHeight="1">
      <c r="A123" s="38"/>
      <c r="B123" s="24"/>
      <c r="C123" s="24"/>
      <c r="D123" s="53"/>
      <c r="E123" s="65"/>
      <c r="F123" s="65"/>
      <c r="G123" s="65"/>
      <c r="H123" s="87"/>
      <c r="I123" s="65"/>
      <c r="J123" s="41"/>
      <c r="K123" s="41"/>
      <c r="L123" s="41"/>
    </row>
    <row r="124" spans="1:9" ht="15">
      <c r="A124" s="29"/>
      <c r="B124" s="25"/>
      <c r="C124" s="25"/>
      <c r="D124" s="12"/>
      <c r="E124" s="68"/>
      <c r="F124" s="68"/>
      <c r="G124" s="68"/>
      <c r="I124" s="66"/>
    </row>
    <row r="125" ht="15">
      <c r="D125" s="4"/>
    </row>
    <row r="126" spans="4:10" ht="15">
      <c r="D126" s="4"/>
      <c r="F126" s="90"/>
      <c r="G126" s="90"/>
      <c r="H126" s="90"/>
      <c r="I126" s="90"/>
      <c r="J126" s="90"/>
    </row>
    <row r="127" spans="4:10" ht="15">
      <c r="D127" s="4"/>
      <c r="F127" s="90"/>
      <c r="G127" s="90"/>
      <c r="H127" s="90"/>
      <c r="I127" s="90"/>
      <c r="J127" s="90"/>
    </row>
    <row r="128" spans="4:10" ht="15">
      <c r="D128" s="4"/>
      <c r="F128" s="90"/>
      <c r="G128" s="90"/>
      <c r="H128" s="90"/>
      <c r="I128" s="90"/>
      <c r="J128" s="90"/>
    </row>
    <row r="129" spans="4:10" ht="15">
      <c r="D129" s="4"/>
      <c r="F129" s="90"/>
      <c r="G129" s="90"/>
      <c r="H129" s="90"/>
      <c r="I129" s="90"/>
      <c r="J129" s="90"/>
    </row>
    <row r="130" spans="4:10" ht="15">
      <c r="D130" s="4"/>
      <c r="F130" s="90"/>
      <c r="G130" s="90"/>
      <c r="H130" s="90"/>
      <c r="I130" s="90"/>
      <c r="J130" s="90"/>
    </row>
    <row r="131" spans="4:10" ht="15">
      <c r="D131" s="4"/>
      <c r="F131" s="90"/>
      <c r="G131" s="90"/>
      <c r="H131" s="90"/>
      <c r="I131" s="90"/>
      <c r="J131" s="90"/>
    </row>
    <row r="132" spans="4:10" ht="15">
      <c r="D132" s="4"/>
      <c r="F132" s="90"/>
      <c r="G132" s="90"/>
      <c r="H132" s="90"/>
      <c r="I132" s="90"/>
      <c r="J132" s="90"/>
    </row>
    <row r="133" spans="4:10" ht="15">
      <c r="D133" s="4"/>
      <c r="F133" s="90"/>
      <c r="G133" s="90"/>
      <c r="H133" s="90"/>
      <c r="I133" s="90"/>
      <c r="J133" s="90"/>
    </row>
    <row r="134" spans="4:10" ht="15">
      <c r="D134" s="4"/>
      <c r="F134" s="90"/>
      <c r="G134" s="90"/>
      <c r="H134" s="90"/>
      <c r="I134" s="90"/>
      <c r="J134" s="90"/>
    </row>
    <row r="135" spans="1:10" ht="15">
      <c r="A135" s="40"/>
      <c r="B135" s="40"/>
      <c r="C135" s="40"/>
      <c r="D135" s="4"/>
      <c r="F135" s="90"/>
      <c r="G135" s="90"/>
      <c r="H135" s="90"/>
      <c r="I135" s="90"/>
      <c r="J135" s="90"/>
    </row>
    <row r="136" spans="1:10" ht="15">
      <c r="A136" s="40"/>
      <c r="B136" s="40"/>
      <c r="C136" s="40"/>
      <c r="D136" s="4"/>
      <c r="F136" s="90"/>
      <c r="G136" s="90"/>
      <c r="H136" s="90"/>
      <c r="I136" s="90"/>
      <c r="J136" s="90"/>
    </row>
    <row r="137" spans="1:10" ht="15">
      <c r="A137" s="40"/>
      <c r="B137" s="40"/>
      <c r="C137" s="40"/>
      <c r="D137" s="4"/>
      <c r="F137" s="90"/>
      <c r="G137" s="90"/>
      <c r="H137" s="90"/>
      <c r="I137" s="90"/>
      <c r="J137" s="90"/>
    </row>
    <row r="138" spans="1:10" ht="15">
      <c r="A138" s="40"/>
      <c r="B138" s="40"/>
      <c r="C138" s="40"/>
      <c r="D138" s="4"/>
      <c r="F138" s="90"/>
      <c r="G138" s="90"/>
      <c r="H138" s="90"/>
      <c r="I138" s="90"/>
      <c r="J138" s="90"/>
    </row>
    <row r="139" spans="1:10" ht="15">
      <c r="A139" s="40"/>
      <c r="B139" s="40"/>
      <c r="C139" s="40"/>
      <c r="D139" s="4"/>
      <c r="F139" s="90"/>
      <c r="G139" s="90"/>
      <c r="H139" s="90"/>
      <c r="I139" s="90"/>
      <c r="J139" s="90"/>
    </row>
    <row r="140" spans="1:10" ht="15">
      <c r="A140" s="40"/>
      <c r="B140" s="40"/>
      <c r="C140" s="40"/>
      <c r="D140" s="4"/>
      <c r="F140" s="90"/>
      <c r="G140" s="90"/>
      <c r="H140" s="90"/>
      <c r="I140" s="90"/>
      <c r="J140" s="90"/>
    </row>
    <row r="141" spans="1:10" ht="15">
      <c r="A141" s="40"/>
      <c r="B141" s="40"/>
      <c r="C141" s="40"/>
      <c r="D141" s="4"/>
      <c r="F141" s="90"/>
      <c r="G141" s="90"/>
      <c r="H141" s="90"/>
      <c r="I141" s="90"/>
      <c r="J141" s="90"/>
    </row>
    <row r="142" spans="1:10" ht="15">
      <c r="A142" s="40"/>
      <c r="B142" s="40"/>
      <c r="C142" s="40"/>
      <c r="D142" s="4"/>
      <c r="F142" s="90"/>
      <c r="G142" s="90"/>
      <c r="H142" s="90"/>
      <c r="I142" s="90"/>
      <c r="J142" s="90"/>
    </row>
    <row r="143" spans="1:10" ht="15">
      <c r="A143" s="40"/>
      <c r="B143" s="40"/>
      <c r="C143" s="40"/>
      <c r="D143" s="4"/>
      <c r="F143" s="90"/>
      <c r="G143" s="90"/>
      <c r="H143" s="90"/>
      <c r="I143" s="90"/>
      <c r="J143" s="90"/>
    </row>
    <row r="144" spans="1:10" ht="15">
      <c r="A144" s="40"/>
      <c r="B144" s="40"/>
      <c r="C144" s="40"/>
      <c r="D144" s="4"/>
      <c r="F144" s="90"/>
      <c r="G144" s="90"/>
      <c r="H144" s="90"/>
      <c r="I144" s="90"/>
      <c r="J144" s="90"/>
    </row>
    <row r="145" spans="1:10" ht="15">
      <c r="A145" s="40"/>
      <c r="B145" s="40"/>
      <c r="C145" s="40"/>
      <c r="D145" s="4"/>
      <c r="F145" s="90"/>
      <c r="G145" s="90"/>
      <c r="H145" s="90"/>
      <c r="I145" s="90"/>
      <c r="J145" s="90"/>
    </row>
    <row r="146" spans="1:10" ht="15">
      <c r="A146" s="40"/>
      <c r="B146" s="40"/>
      <c r="C146" s="40"/>
      <c r="D146" s="4"/>
      <c r="F146" s="90"/>
      <c r="G146" s="90"/>
      <c r="H146" s="90"/>
      <c r="I146" s="90"/>
      <c r="J146" s="90"/>
    </row>
    <row r="147" spans="1:10" ht="15">
      <c r="A147" s="40"/>
      <c r="B147" s="40"/>
      <c r="C147" s="40"/>
      <c r="D147" s="4"/>
      <c r="F147" s="90"/>
      <c r="G147" s="90"/>
      <c r="H147" s="90"/>
      <c r="I147" s="90"/>
      <c r="J147" s="90"/>
    </row>
    <row r="148" spans="1:10" ht="15">
      <c r="A148" s="40"/>
      <c r="B148" s="40"/>
      <c r="C148" s="40"/>
      <c r="D148" s="4"/>
      <c r="F148" s="90"/>
      <c r="G148" s="90"/>
      <c r="H148" s="90"/>
      <c r="I148" s="90"/>
      <c r="J148" s="90"/>
    </row>
    <row r="149" spans="1:10" ht="15">
      <c r="A149" s="40"/>
      <c r="B149" s="40"/>
      <c r="C149" s="40"/>
      <c r="D149" s="4"/>
      <c r="F149" s="90"/>
      <c r="G149" s="90"/>
      <c r="H149" s="90"/>
      <c r="I149" s="90"/>
      <c r="J149" s="90"/>
    </row>
    <row r="150" spans="1:10" ht="15">
      <c r="A150" s="40"/>
      <c r="B150" s="40"/>
      <c r="C150" s="40"/>
      <c r="D150" s="4"/>
      <c r="F150" s="90"/>
      <c r="G150" s="90"/>
      <c r="H150" s="90"/>
      <c r="I150" s="90"/>
      <c r="J150" s="90"/>
    </row>
    <row r="151" spans="1:10" ht="15">
      <c r="A151" s="40"/>
      <c r="B151" s="40"/>
      <c r="C151" s="40"/>
      <c r="D151" s="4"/>
      <c r="F151" s="90"/>
      <c r="G151" s="90"/>
      <c r="H151" s="90"/>
      <c r="I151" s="90"/>
      <c r="J151" s="90"/>
    </row>
    <row r="152" spans="1:10" ht="15">
      <c r="A152" s="40"/>
      <c r="B152" s="40"/>
      <c r="C152" s="40"/>
      <c r="D152" s="4"/>
      <c r="F152" s="90"/>
      <c r="G152" s="90"/>
      <c r="H152" s="90"/>
      <c r="I152" s="90"/>
      <c r="J152" s="90"/>
    </row>
    <row r="153" spans="1:10" ht="15">
      <c r="A153" s="40"/>
      <c r="B153" s="40"/>
      <c r="C153" s="40"/>
      <c r="D153" s="4"/>
      <c r="F153" s="90"/>
      <c r="G153" s="90"/>
      <c r="H153" s="90"/>
      <c r="I153" s="90"/>
      <c r="J153" s="90"/>
    </row>
    <row r="154" spans="1:10" ht="15">
      <c r="A154" s="40"/>
      <c r="B154" s="40"/>
      <c r="C154" s="40"/>
      <c r="D154" s="4"/>
      <c r="F154" s="90"/>
      <c r="G154" s="90"/>
      <c r="H154" s="90"/>
      <c r="I154" s="90"/>
      <c r="J154" s="90"/>
    </row>
    <row r="155" spans="1:10" ht="15">
      <c r="A155" s="40"/>
      <c r="B155" s="40"/>
      <c r="C155" s="40"/>
      <c r="D155" s="4"/>
      <c r="F155" s="90"/>
      <c r="G155" s="90"/>
      <c r="H155" s="90"/>
      <c r="I155" s="90"/>
      <c r="J155" s="90"/>
    </row>
    <row r="156" spans="1:10" ht="15">
      <c r="A156" s="40"/>
      <c r="B156" s="40"/>
      <c r="C156" s="40"/>
      <c r="D156" s="4"/>
      <c r="F156" s="90"/>
      <c r="G156" s="90"/>
      <c r="H156" s="90"/>
      <c r="I156" s="90"/>
      <c r="J156" s="90"/>
    </row>
    <row r="157" spans="1:10" ht="15">
      <c r="A157" s="40"/>
      <c r="B157" s="40"/>
      <c r="C157" s="40"/>
      <c r="D157" s="4"/>
      <c r="F157" s="90"/>
      <c r="G157" s="90"/>
      <c r="H157" s="90"/>
      <c r="I157" s="90"/>
      <c r="J157" s="90"/>
    </row>
    <row r="158" spans="1:10" ht="15">
      <c r="A158" s="40"/>
      <c r="B158" s="40"/>
      <c r="C158" s="40"/>
      <c r="D158" s="4"/>
      <c r="F158" s="90"/>
      <c r="G158" s="90"/>
      <c r="H158" s="90"/>
      <c r="I158" s="90"/>
      <c r="J158" s="90"/>
    </row>
    <row r="159" spans="1:10" ht="15">
      <c r="A159" s="40"/>
      <c r="B159" s="40"/>
      <c r="C159" s="40"/>
      <c r="D159" s="4"/>
      <c r="F159" s="90"/>
      <c r="G159" s="90"/>
      <c r="H159" s="90"/>
      <c r="I159" s="90"/>
      <c r="J159" s="90"/>
    </row>
    <row r="160" spans="1:10" ht="15">
      <c r="A160" s="40"/>
      <c r="B160" s="40"/>
      <c r="C160" s="40"/>
      <c r="D160" s="4"/>
      <c r="F160" s="90"/>
      <c r="G160" s="90"/>
      <c r="H160" s="90"/>
      <c r="I160" s="90"/>
      <c r="J160" s="90"/>
    </row>
    <row r="161" spans="1:10" ht="15">
      <c r="A161" s="40"/>
      <c r="B161" s="40"/>
      <c r="C161" s="40"/>
      <c r="D161" s="4"/>
      <c r="F161" s="90"/>
      <c r="G161" s="90"/>
      <c r="H161" s="90"/>
      <c r="I161" s="90"/>
      <c r="J161" s="90"/>
    </row>
    <row r="162" spans="1:10" ht="15">
      <c r="A162" s="40"/>
      <c r="B162" s="40"/>
      <c r="C162" s="40"/>
      <c r="D162" s="4"/>
      <c r="F162" s="90"/>
      <c r="G162" s="90"/>
      <c r="H162" s="90"/>
      <c r="I162" s="90"/>
      <c r="J162" s="90"/>
    </row>
    <row r="163" spans="1:9" ht="15">
      <c r="A163" s="40"/>
      <c r="B163" s="40"/>
      <c r="C163" s="40"/>
      <c r="D163" s="4"/>
      <c r="H163" s="40"/>
      <c r="I163" s="40"/>
    </row>
    <row r="164" spans="1:9" ht="15">
      <c r="A164" s="40"/>
      <c r="B164" s="40"/>
      <c r="C164" s="40"/>
      <c r="D164" s="4"/>
      <c r="H164" s="40"/>
      <c r="I164" s="40"/>
    </row>
    <row r="165" spans="1:9" ht="15">
      <c r="A165" s="40"/>
      <c r="B165" s="40"/>
      <c r="C165" s="40"/>
      <c r="D165" s="4"/>
      <c r="H165" s="40"/>
      <c r="I165" s="40"/>
    </row>
    <row r="166" spans="1:9" ht="15">
      <c r="A166" s="40"/>
      <c r="B166" s="40"/>
      <c r="C166" s="40"/>
      <c r="D166" s="4"/>
      <c r="H166" s="40"/>
      <c r="I166" s="40"/>
    </row>
    <row r="167" spans="1:9" ht="15">
      <c r="A167" s="40"/>
      <c r="B167" s="40"/>
      <c r="C167" s="40"/>
      <c r="D167" s="4"/>
      <c r="H167" s="40"/>
      <c r="I167" s="40"/>
    </row>
    <row r="168" spans="1:9" ht="15">
      <c r="A168" s="40"/>
      <c r="B168" s="40"/>
      <c r="C168" s="40"/>
      <c r="D168" s="4"/>
      <c r="H168" s="40"/>
      <c r="I168" s="40"/>
    </row>
    <row r="169" spans="1:9" ht="15">
      <c r="A169" s="40"/>
      <c r="B169" s="40"/>
      <c r="C169" s="40"/>
      <c r="D169" s="4"/>
      <c r="H169" s="40"/>
      <c r="I169" s="40"/>
    </row>
    <row r="170" spans="1:9" ht="15">
      <c r="A170" s="40"/>
      <c r="B170" s="40"/>
      <c r="C170" s="40"/>
      <c r="D170" s="4"/>
      <c r="H170" s="40"/>
      <c r="I170" s="40"/>
    </row>
    <row r="171" spans="1:9" ht="15">
      <c r="A171" s="40"/>
      <c r="B171" s="40"/>
      <c r="C171" s="40"/>
      <c r="D171" s="4"/>
      <c r="H171" s="40"/>
      <c r="I171" s="40"/>
    </row>
    <row r="172" spans="1:9" ht="15">
      <c r="A172" s="40"/>
      <c r="B172" s="40"/>
      <c r="C172" s="40"/>
      <c r="D172" s="4"/>
      <c r="H172" s="40"/>
      <c r="I172" s="40"/>
    </row>
    <row r="173" spans="1:9" ht="15">
      <c r="A173" s="40"/>
      <c r="B173" s="40"/>
      <c r="C173" s="40"/>
      <c r="D173" s="4"/>
      <c r="H173" s="40"/>
      <c r="I173" s="40"/>
    </row>
    <row r="174" spans="1:9" ht="15">
      <c r="A174" s="40"/>
      <c r="B174" s="40"/>
      <c r="C174" s="40"/>
      <c r="D174" s="4"/>
      <c r="H174" s="40"/>
      <c r="I174" s="40"/>
    </row>
    <row r="175" spans="1:9" ht="15">
      <c r="A175" s="40"/>
      <c r="B175" s="40"/>
      <c r="C175" s="40"/>
      <c r="D175" s="4"/>
      <c r="H175" s="40"/>
      <c r="I175" s="40"/>
    </row>
    <row r="176" spans="1:9" ht="15">
      <c r="A176" s="40"/>
      <c r="B176" s="40"/>
      <c r="C176" s="40"/>
      <c r="D176" s="4"/>
      <c r="H176" s="40"/>
      <c r="I176" s="40"/>
    </row>
    <row r="177" spans="1:9" ht="15">
      <c r="A177" s="40"/>
      <c r="B177" s="40"/>
      <c r="C177" s="40"/>
      <c r="D177" s="4"/>
      <c r="H177" s="40"/>
      <c r="I177" s="40"/>
    </row>
    <row r="178" spans="1:9" ht="15">
      <c r="A178" s="40"/>
      <c r="B178" s="40"/>
      <c r="C178" s="40"/>
      <c r="D178" s="4"/>
      <c r="H178" s="40"/>
      <c r="I178" s="40"/>
    </row>
    <row r="179" spans="1:9" ht="15">
      <c r="A179" s="40"/>
      <c r="B179" s="40"/>
      <c r="C179" s="40"/>
      <c r="D179" s="4"/>
      <c r="H179" s="40"/>
      <c r="I179" s="40"/>
    </row>
    <row r="180" spans="1:9" ht="15">
      <c r="A180" s="40"/>
      <c r="B180" s="40"/>
      <c r="C180" s="40"/>
      <c r="D180" s="4"/>
      <c r="H180" s="40"/>
      <c r="I180" s="40"/>
    </row>
    <row r="181" spans="1:9" ht="15">
      <c r="A181" s="40"/>
      <c r="B181" s="40"/>
      <c r="C181" s="40"/>
      <c r="D181" s="4"/>
      <c r="H181" s="40"/>
      <c r="I181" s="40"/>
    </row>
    <row r="182" spans="1:9" ht="15">
      <c r="A182" s="40"/>
      <c r="B182" s="40"/>
      <c r="C182" s="40"/>
      <c r="D182" s="4"/>
      <c r="H182" s="40"/>
      <c r="I182" s="40"/>
    </row>
    <row r="183" spans="1:9" ht="15">
      <c r="A183" s="40"/>
      <c r="B183" s="40"/>
      <c r="C183" s="40"/>
      <c r="D183" s="4"/>
      <c r="H183" s="40"/>
      <c r="I183" s="40"/>
    </row>
    <row r="184" spans="1:9" ht="15">
      <c r="A184" s="40"/>
      <c r="B184" s="40"/>
      <c r="C184" s="40"/>
      <c r="D184" s="4"/>
      <c r="H184" s="40"/>
      <c r="I184" s="40"/>
    </row>
    <row r="185" spans="1:9" ht="15">
      <c r="A185" s="40"/>
      <c r="B185" s="40"/>
      <c r="C185" s="40"/>
      <c r="D185" s="4"/>
      <c r="H185" s="40"/>
      <c r="I185" s="40"/>
    </row>
    <row r="186" spans="1:9" ht="15">
      <c r="A186" s="40"/>
      <c r="B186" s="40"/>
      <c r="C186" s="40"/>
      <c r="D186" s="4"/>
      <c r="H186" s="40"/>
      <c r="I186" s="40"/>
    </row>
    <row r="187" spans="1:9" ht="15">
      <c r="A187" s="40"/>
      <c r="B187" s="40"/>
      <c r="C187" s="40"/>
      <c r="D187" s="4"/>
      <c r="H187" s="40"/>
      <c r="I187" s="40"/>
    </row>
    <row r="188" spans="1:9" ht="15">
      <c r="A188" s="40"/>
      <c r="B188" s="40"/>
      <c r="C188" s="40"/>
      <c r="D188" s="4"/>
      <c r="H188" s="40"/>
      <c r="I188" s="40"/>
    </row>
    <row r="189" spans="1:9" ht="15">
      <c r="A189" s="40"/>
      <c r="B189" s="40"/>
      <c r="C189" s="40"/>
      <c r="D189" s="4"/>
      <c r="H189" s="40"/>
      <c r="I189" s="40"/>
    </row>
    <row r="190" spans="1:9" ht="15">
      <c r="A190" s="40"/>
      <c r="B190" s="40"/>
      <c r="C190" s="40"/>
      <c r="D190" s="4"/>
      <c r="H190" s="40"/>
      <c r="I190" s="40"/>
    </row>
    <row r="191" spans="1:9" ht="15">
      <c r="A191" s="40"/>
      <c r="B191" s="40"/>
      <c r="C191" s="40"/>
      <c r="D191" s="4"/>
      <c r="H191" s="40"/>
      <c r="I191" s="40"/>
    </row>
    <row r="192" spans="1:9" ht="15">
      <c r="A192" s="40"/>
      <c r="B192" s="40"/>
      <c r="C192" s="40"/>
      <c r="D192" s="4"/>
      <c r="H192" s="40"/>
      <c r="I192" s="40"/>
    </row>
    <row r="193" spans="1:9" ht="15">
      <c r="A193" s="40"/>
      <c r="B193" s="40"/>
      <c r="C193" s="40"/>
      <c r="D193" s="4"/>
      <c r="H193" s="40"/>
      <c r="I193" s="40"/>
    </row>
    <row r="194" spans="1:9" ht="15">
      <c r="A194" s="40"/>
      <c r="B194" s="40"/>
      <c r="C194" s="40"/>
      <c r="D194" s="4"/>
      <c r="H194" s="40"/>
      <c r="I194" s="40"/>
    </row>
    <row r="195" spans="1:9" ht="15">
      <c r="A195" s="40"/>
      <c r="B195" s="40"/>
      <c r="C195" s="40"/>
      <c r="D195" s="4"/>
      <c r="H195" s="40"/>
      <c r="I195" s="40"/>
    </row>
    <row r="196" spans="1:9" ht="15">
      <c r="A196" s="40"/>
      <c r="B196" s="40"/>
      <c r="C196" s="40"/>
      <c r="D196" s="4"/>
      <c r="H196" s="40"/>
      <c r="I196" s="40"/>
    </row>
    <row r="197" spans="1:9" ht="15">
      <c r="A197" s="40"/>
      <c r="B197" s="40"/>
      <c r="C197" s="40"/>
      <c r="D197" s="4"/>
      <c r="H197" s="40"/>
      <c r="I197" s="40"/>
    </row>
    <row r="198" spans="1:9" ht="15">
      <c r="A198" s="40"/>
      <c r="B198" s="40"/>
      <c r="C198" s="40"/>
      <c r="D198" s="4"/>
      <c r="H198" s="40"/>
      <c r="I198" s="40"/>
    </row>
    <row r="199" spans="1:9" ht="15">
      <c r="A199" s="40"/>
      <c r="B199" s="40"/>
      <c r="C199" s="40"/>
      <c r="D199" s="4"/>
      <c r="H199" s="40"/>
      <c r="I199" s="40"/>
    </row>
    <row r="200" spans="1:9" ht="15">
      <c r="A200" s="40"/>
      <c r="B200" s="40"/>
      <c r="C200" s="40"/>
      <c r="D200" s="4"/>
      <c r="H200" s="40"/>
      <c r="I200" s="40"/>
    </row>
    <row r="201" spans="1:9" ht="15">
      <c r="A201" s="40"/>
      <c r="B201" s="40"/>
      <c r="C201" s="40"/>
      <c r="D201" s="4"/>
      <c r="H201" s="40"/>
      <c r="I201" s="40"/>
    </row>
    <row r="202" spans="1:9" ht="15">
      <c r="A202" s="40"/>
      <c r="B202" s="40"/>
      <c r="C202" s="40"/>
      <c r="D202" s="4"/>
      <c r="H202" s="40"/>
      <c r="I202" s="40"/>
    </row>
    <row r="203" spans="1:9" ht="15">
      <c r="A203" s="40"/>
      <c r="B203" s="40"/>
      <c r="C203" s="40"/>
      <c r="D203" s="4"/>
      <c r="H203" s="40"/>
      <c r="I203" s="40"/>
    </row>
    <row r="204" spans="1:9" ht="15">
      <c r="A204" s="40"/>
      <c r="B204" s="40"/>
      <c r="C204" s="40"/>
      <c r="D204" s="4"/>
      <c r="H204" s="40"/>
      <c r="I204" s="40"/>
    </row>
    <row r="205" spans="1:9" ht="15">
      <c r="A205" s="40"/>
      <c r="B205" s="40"/>
      <c r="C205" s="40"/>
      <c r="D205" s="4"/>
      <c r="H205" s="40"/>
      <c r="I205" s="40"/>
    </row>
    <row r="206" spans="1:9" ht="15">
      <c r="A206" s="40"/>
      <c r="B206" s="40"/>
      <c r="C206" s="40"/>
      <c r="D206" s="4"/>
      <c r="H206" s="40"/>
      <c r="I206" s="40"/>
    </row>
    <row r="207" spans="1:9" ht="15">
      <c r="A207" s="40"/>
      <c r="B207" s="40"/>
      <c r="C207" s="40"/>
      <c r="D207" s="4"/>
      <c r="H207" s="40"/>
      <c r="I207" s="40"/>
    </row>
    <row r="208" spans="1:9" ht="15">
      <c r="A208" s="40"/>
      <c r="B208" s="40"/>
      <c r="C208" s="40"/>
      <c r="D208" s="4"/>
      <c r="H208" s="40"/>
      <c r="I208" s="40"/>
    </row>
    <row r="209" spans="1:9" ht="15">
      <c r="A209" s="40"/>
      <c r="B209" s="40"/>
      <c r="C209" s="40"/>
      <c r="D209" s="4"/>
      <c r="H209" s="40"/>
      <c r="I209" s="40"/>
    </row>
    <row r="210" spans="1:9" ht="15">
      <c r="A210" s="40"/>
      <c r="B210" s="40"/>
      <c r="C210" s="40"/>
      <c r="D210" s="4"/>
      <c r="H210" s="40"/>
      <c r="I210" s="40"/>
    </row>
    <row r="211" spans="1:9" ht="15">
      <c r="A211" s="40"/>
      <c r="B211" s="40"/>
      <c r="C211" s="40"/>
      <c r="D211" s="4"/>
      <c r="H211" s="40"/>
      <c r="I211" s="40"/>
    </row>
    <row r="212" spans="1:9" ht="15">
      <c r="A212" s="40"/>
      <c r="B212" s="40"/>
      <c r="C212" s="40"/>
      <c r="D212" s="4"/>
      <c r="H212" s="40"/>
      <c r="I212" s="40"/>
    </row>
    <row r="213" spans="1:9" ht="15">
      <c r="A213" s="40"/>
      <c r="B213" s="40"/>
      <c r="C213" s="40"/>
      <c r="D213" s="4"/>
      <c r="H213" s="40"/>
      <c r="I213" s="40"/>
    </row>
    <row r="214" spans="1:9" ht="15">
      <c r="A214" s="40"/>
      <c r="B214" s="40"/>
      <c r="C214" s="40"/>
      <c r="D214" s="4"/>
      <c r="H214" s="40"/>
      <c r="I214" s="40"/>
    </row>
  </sheetData>
  <sheetProtection/>
  <mergeCells count="2">
    <mergeCell ref="K3:L3"/>
    <mergeCell ref="A1:L1"/>
  </mergeCells>
  <printOptions/>
  <pageMargins left="0.6692913385826772" right="0.15748031496062992" top="0.7480314960629921" bottom="0.7480314960629921" header="0.31496062992125984" footer="0.31496062992125984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Ожидаемое исполнение республиканского бюджета Республики Марий Эл за 2018 год</dc:title>
  <dc:subject/>
  <dc:creator>Шумахер Татьяна Васильевна</dc:creator>
  <cp:keywords/>
  <dc:description/>
  <cp:lastModifiedBy>MF-EzhAS</cp:lastModifiedBy>
  <cp:lastPrinted>2018-11-12T11:30:36Z</cp:lastPrinted>
  <dcterms:created xsi:type="dcterms:W3CDTF">2000-02-18T06:44:28Z</dcterms:created>
  <dcterms:modified xsi:type="dcterms:W3CDTF">2018-11-12T13:25:10Z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XXJ7TYMEEKJ2-344-145</vt:lpwstr>
  </property>
  <property fmtid="{D5CDD505-2E9C-101B-9397-08002B2CF9AE}" pid="4" name="_dlc_DocIdItemGu">
    <vt:lpwstr>21ef53cb-41b1-49fb-ac21-516f6b221723</vt:lpwstr>
  </property>
  <property fmtid="{D5CDD505-2E9C-101B-9397-08002B2CF9AE}" pid="5" name="_dlc_DocIdU">
    <vt:lpwstr>https://vip.gov.mari.ru/minfin/_layouts/DocIdRedir.aspx?ID=XXJ7TYMEEKJ2-344-145, XXJ7TYMEEKJ2-344-145</vt:lpwstr>
  </property>
  <property fmtid="{D5CDD505-2E9C-101B-9397-08002B2CF9AE}" pid="6" name="Описан">
    <vt:lpwstr>Сравнение с отчетом об исполнении республиканского бюджета за 2017 год и проектом республиканского бюджета на 2019 год и на плановый период 2020 и 2021 годов</vt:lpwstr>
  </property>
</Properties>
</file>